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nathan_childs_usda_gov/Documents/CRITICAL FILES/1  2024 MONTHLY ICEC FOLDERS/06_2024 JUNE FILES/06_2024 APPENDIX TABLES/"/>
    </mc:Choice>
  </mc:AlternateContent>
  <xr:revisionPtr revIDLastSave="46" documentId="8_{AEA291D5-ABF2-4CDC-B0F2-7FF9F589C9F3}" xr6:coauthVersionLast="47" xr6:coauthVersionMax="47" xr10:uidLastSave="{7D10D438-F684-4719-9869-755948601743}"/>
  <bookViews>
    <workbookView xWindow="20370" yWindow="-120" windowWidth="29040" windowHeight="15840" tabRatio="599" activeTab="12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7'!$D$28:$D$35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8'!$D$1:$S$5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7'!$A$1:$D$181</definedName>
    <definedName name="_xlnm.Print_Area" localSheetId="0">'Table 1'!$A$1:$H$51</definedName>
    <definedName name="_xlnm.Print_Area" localSheetId="9">'Table 10'!$A$1:$N$107</definedName>
    <definedName name="_xlnm.Print_Area" localSheetId="10">'Table 11'!$A$1:$N$76</definedName>
    <definedName name="_xlnm.Print_Area" localSheetId="11">'Table 12'!$A$1:$N$56</definedName>
    <definedName name="_xlnm.Print_Area" localSheetId="12">'Table 13'!$A$1:$O$90</definedName>
    <definedName name="_xlnm.Print_Area" localSheetId="1">'Table 2'!$A$1:$H$81</definedName>
    <definedName name="_xlnm.Print_Area" localSheetId="2">'Table 3'!$A$1:$N$25</definedName>
    <definedName name="_xlnm.Print_Area" localSheetId="3">'Table 4'!$A$1:$Q$32</definedName>
    <definedName name="_xlnm.Print_Area" localSheetId="4">'Table 5'!$A$1:$I$32</definedName>
    <definedName name="_xlnm.Print_Area" localSheetId="5">'Table 6'!$A$1:$I$27</definedName>
    <definedName name="_xlnm.Print_Area" localSheetId="6">'Table 7'!$A$1:$P$90</definedName>
    <definedName name="_xlnm.Print_Area" localSheetId="7">'Table 8'!$A$1:$R$74</definedName>
    <definedName name="_xlnm.Print_Area" localSheetId="8">'Table 9'!$A$1:$S$28</definedName>
    <definedName name="_xlnm.Print_Area">'Table 7'!$A$1:$D$181</definedName>
    <definedName name="Print_Area_MI" localSheetId="9">'Table 10'!$A$1:$O$125</definedName>
    <definedName name="Print_Area_MI" localSheetId="10">'Table 11'!$B$1:$D$96</definedName>
    <definedName name="Print_Area_MI" localSheetId="11">#N/A</definedName>
    <definedName name="Print_Area_MI" localSheetId="12">'Table 13'!$A$1:$O$111</definedName>
    <definedName name="Print_Area_MI" localSheetId="1">'Table 2'!$A$1:$A$77</definedName>
    <definedName name="Print_Area_MI" localSheetId="2">'Table 3'!$A$1:$M$27</definedName>
    <definedName name="PRINT_AREA_MI" localSheetId="3">'Table 4'!$A$1:$T$33</definedName>
    <definedName name="Print_Area_MI" localSheetId="4">'Table 5'!$A$1:$V$33</definedName>
    <definedName name="Print_Area_MI" localSheetId="5">'Table 6'!$A$1:$O$28</definedName>
    <definedName name="Print_Area_MI" localSheetId="6">'Table 7'!$A$1:$A$95</definedName>
    <definedName name="Print_Area_MI" localSheetId="7">'Table 8'!$A$1:$B$77</definedName>
    <definedName name="Print_Area_MI">#REF!</definedName>
    <definedName name="RICE" localSheetId="9">'Table 10'!$A$1:$N$124</definedName>
    <definedName name="RICE" localSheetId="10">'Table 11'!$B$1:$D$92</definedName>
    <definedName name="RICE" localSheetId="11">#N/A</definedName>
    <definedName name="RICE" localSheetId="12">'Table 13'!$A$1:$O$107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7'!$A$1:$A$91</definedName>
    <definedName name="RICE" localSheetId="7">'Table 8'!$A$1:$B$73</definedName>
    <definedName name="RICE">#REF!</definedName>
    <definedName name="TABLE" localSheetId="10">'Table 11'!$B$1:$H$113</definedName>
    <definedName name="TABLE" localSheetId="11">#N/A</definedName>
    <definedName name="TABLE" localSheetId="12">'Table 13'!$A$1:$C$128</definedName>
    <definedName name="TABLE" localSheetId="7">'Table 8'!$A$1:$B$94</definedName>
    <definedName name="TABLE">'Table 7'!$A$1:$A$112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4'!$A$1:$T$33</definedName>
    <definedName name="TABLE4" localSheetId="7">'Table 8'!$C$3:$C$32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L93" i="11"/>
  <c r="B93" i="11"/>
  <c r="M83" i="9"/>
  <c r="M36" i="9"/>
  <c r="N36" i="9"/>
  <c r="K36" i="9"/>
  <c r="N18" i="9"/>
  <c r="M18" i="9"/>
  <c r="Q19" i="15" l="1"/>
  <c r="O19" i="15"/>
  <c r="Q18" i="15"/>
  <c r="O18" i="15"/>
  <c r="Q14" i="15"/>
  <c r="O14" i="15"/>
  <c r="Q13" i="15"/>
  <c r="O13" i="15"/>
  <c r="O10" i="15"/>
  <c r="Q9" i="15"/>
  <c r="O9" i="15"/>
  <c r="Q8" i="15"/>
  <c r="O8" i="15"/>
  <c r="P69" i="10"/>
  <c r="O69" i="10"/>
  <c r="P20" i="10"/>
  <c r="O20" i="10"/>
  <c r="O35" i="10"/>
  <c r="P47" i="10"/>
  <c r="O47" i="10"/>
  <c r="P65" i="10"/>
  <c r="P64" i="10"/>
  <c r="O64" i="10"/>
  <c r="P63" i="10"/>
  <c r="O63" i="10"/>
  <c r="P62" i="10"/>
  <c r="O62" i="10"/>
  <c r="P61" i="10"/>
  <c r="O61" i="10"/>
  <c r="P60" i="10"/>
  <c r="O60" i="10"/>
  <c r="P59" i="10"/>
  <c r="P57" i="10"/>
  <c r="O57" i="10"/>
  <c r="P56" i="10"/>
  <c r="O56" i="10"/>
  <c r="P55" i="10"/>
  <c r="O55" i="10"/>
  <c r="P54" i="10"/>
  <c r="O54" i="10"/>
  <c r="P53" i="10"/>
  <c r="O53" i="10"/>
  <c r="P51" i="10"/>
  <c r="O51" i="10"/>
  <c r="P50" i="10"/>
  <c r="O50" i="10"/>
  <c r="P48" i="10"/>
  <c r="O48" i="10"/>
  <c r="P33" i="10"/>
  <c r="P14" i="10"/>
  <c r="P32" i="10"/>
  <c r="P29" i="10"/>
  <c r="O29" i="10"/>
  <c r="P27" i="10"/>
  <c r="O27" i="10"/>
  <c r="P25" i="10"/>
  <c r="O25" i="10"/>
  <c r="P24" i="10"/>
  <c r="O24" i="10"/>
  <c r="P23" i="10"/>
  <c r="O23" i="10"/>
  <c r="P21" i="10"/>
  <c r="O21" i="10"/>
  <c r="P17" i="10"/>
  <c r="O17" i="10"/>
  <c r="P15" i="10"/>
  <c r="O15" i="10"/>
  <c r="P18" i="10"/>
  <c r="Q18" i="10"/>
  <c r="P16" i="10"/>
  <c r="O16" i="10"/>
  <c r="P12" i="10"/>
  <c r="O12" i="10"/>
  <c r="P11" i="10"/>
  <c r="O11" i="10"/>
  <c r="P10" i="10"/>
  <c r="O10" i="10"/>
  <c r="H19" i="2" l="1"/>
  <c r="C93" i="11" l="1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6" i="14"/>
  <c r="N7" i="14"/>
  <c r="H7" i="14"/>
  <c r="D83" i="14"/>
  <c r="D84" i="14" s="1"/>
  <c r="J83" i="14"/>
  <c r="J84" i="14" s="1"/>
  <c r="E72" i="12"/>
  <c r="E69" i="12"/>
  <c r="M72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7" i="12"/>
  <c r="G7" i="12"/>
  <c r="J69" i="12"/>
  <c r="J70" i="12" s="1"/>
  <c r="D51" i="13"/>
  <c r="D46" i="13"/>
  <c r="D47" i="13" s="1"/>
  <c r="M49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51" i="13"/>
  <c r="M7" i="13"/>
  <c r="G7" i="13"/>
  <c r="K51" i="13"/>
  <c r="K46" i="13"/>
  <c r="M46" i="13" s="1"/>
  <c r="J51" i="13"/>
  <c r="J46" i="13"/>
  <c r="J47" i="13" s="1"/>
  <c r="K47" i="13" l="1"/>
  <c r="M47" i="13" s="1"/>
  <c r="P45" i="10"/>
  <c r="P9" i="10"/>
  <c r="Q20" i="15"/>
  <c r="Q15" i="15"/>
  <c r="Q24" i="15"/>
  <c r="O33" i="10"/>
  <c r="Q23" i="15" l="1"/>
  <c r="Q10" i="15"/>
  <c r="G54" i="4"/>
  <c r="G56" i="4" s="1"/>
  <c r="G60" i="4" s="1"/>
  <c r="F54" i="4"/>
  <c r="F60" i="4" s="1"/>
  <c r="E54" i="4"/>
  <c r="E60" i="4" s="1"/>
  <c r="D54" i="4"/>
  <c r="D60" i="4" s="1"/>
  <c r="C54" i="4"/>
  <c r="C60" i="4" s="1"/>
  <c r="G47" i="4"/>
  <c r="F47" i="4"/>
  <c r="E47" i="4"/>
  <c r="D47" i="4"/>
  <c r="C47" i="4"/>
  <c r="G43" i="4"/>
  <c r="F43" i="4"/>
  <c r="E43" i="4"/>
  <c r="D43" i="4"/>
  <c r="C43" i="4"/>
  <c r="G23" i="4"/>
  <c r="F23" i="4"/>
  <c r="E23" i="4"/>
  <c r="D23" i="4"/>
  <c r="C23" i="4"/>
  <c r="C29" i="4" s="1"/>
  <c r="D16" i="4"/>
  <c r="D19" i="4" s="1"/>
  <c r="D25" i="4" s="1"/>
  <c r="C16" i="4"/>
  <c r="C19" i="4" s="1"/>
  <c r="G12" i="4"/>
  <c r="F12" i="4"/>
  <c r="E12" i="4"/>
  <c r="E70" i="12"/>
  <c r="B69" i="12"/>
  <c r="B70" i="12" s="1"/>
  <c r="E51" i="13"/>
  <c r="E46" i="13"/>
  <c r="E47" i="13" s="1"/>
  <c r="B51" i="13"/>
  <c r="B46" i="13"/>
  <c r="B47" i="13" s="1"/>
  <c r="F83" i="14"/>
  <c r="F84" i="14" s="1"/>
  <c r="B83" i="14"/>
  <c r="B84" i="14" s="1"/>
  <c r="C39" i="2"/>
  <c r="G33" i="2"/>
  <c r="F33" i="2"/>
  <c r="E33" i="2"/>
  <c r="D33" i="2"/>
  <c r="C33" i="2"/>
  <c r="B33" i="2"/>
  <c r="B39" i="2" s="1"/>
  <c r="F25" i="2"/>
  <c r="E25" i="2"/>
  <c r="D25" i="2"/>
  <c r="C25" i="2"/>
  <c r="B25" i="2"/>
  <c r="B22" i="2"/>
  <c r="D19" i="2"/>
  <c r="D22" i="2" s="1"/>
  <c r="D35" i="2" s="1"/>
  <c r="C19" i="2"/>
  <c r="C22" i="2" s="1"/>
  <c r="G15" i="2"/>
  <c r="F15" i="2"/>
  <c r="E15" i="2"/>
  <c r="D15" i="2"/>
  <c r="C15" i="2"/>
  <c r="N43" i="12"/>
  <c r="G43" i="12"/>
  <c r="H43" i="12"/>
  <c r="D29" i="4" l="1"/>
  <c r="E16" i="4"/>
  <c r="E19" i="4" s="1"/>
  <c r="E25" i="4" s="1"/>
  <c r="D39" i="2"/>
  <c r="E19" i="2"/>
  <c r="E22" i="2" s="1"/>
  <c r="E35" i="2" s="1"/>
  <c r="E29" i="4" l="1"/>
  <c r="F16" i="4"/>
  <c r="F19" i="4" s="1"/>
  <c r="F25" i="4" s="1"/>
  <c r="F19" i="2"/>
  <c r="F22" i="2" s="1"/>
  <c r="F35" i="2" s="1"/>
  <c r="E39" i="2"/>
  <c r="I79" i="14"/>
  <c r="H79" i="14"/>
  <c r="O79" i="14" s="1"/>
  <c r="N16" i="12"/>
  <c r="G16" i="12"/>
  <c r="H16" i="12"/>
  <c r="O46" i="14"/>
  <c r="I46" i="14"/>
  <c r="H46" i="14"/>
  <c r="I32" i="14"/>
  <c r="H32" i="14"/>
  <c r="O32" i="14"/>
  <c r="O25" i="14"/>
  <c r="I25" i="14"/>
  <c r="H25" i="14"/>
  <c r="O17" i="14"/>
  <c r="I17" i="14"/>
  <c r="H17" i="14"/>
  <c r="G16" i="4" l="1"/>
  <c r="G19" i="4" s="1"/>
  <c r="G25" i="4" s="1"/>
  <c r="G29" i="4" s="1"/>
  <c r="F29" i="4"/>
  <c r="F39" i="2"/>
  <c r="G19" i="2"/>
  <c r="G22" i="2" s="1"/>
  <c r="G35" i="2" s="1"/>
  <c r="G39" i="2" s="1"/>
  <c r="O20" i="14"/>
  <c r="H20" i="14"/>
  <c r="I20" i="14"/>
  <c r="O8" i="14"/>
  <c r="I8" i="14"/>
  <c r="H8" i="14"/>
  <c r="G24" i="13" l="1"/>
  <c r="N25" i="9" l="1"/>
  <c r="M25" i="9"/>
  <c r="O21" i="9"/>
  <c r="N5" i="9" l="1"/>
  <c r="G21" i="7"/>
  <c r="B21" i="7"/>
  <c r="N83" i="9" l="1"/>
  <c r="N59" i="9"/>
  <c r="M59" i="9"/>
  <c r="N55" i="9"/>
  <c r="M55" i="9"/>
  <c r="N54" i="9"/>
  <c r="M54" i="9"/>
  <c r="N53" i="9"/>
  <c r="M53" i="9"/>
  <c r="N52" i="9"/>
  <c r="M52" i="9"/>
  <c r="N50" i="9"/>
  <c r="M50" i="9"/>
  <c r="N49" i="9"/>
  <c r="M49" i="9"/>
  <c r="N47" i="9"/>
  <c r="M47" i="9"/>
  <c r="N46" i="9"/>
  <c r="M46" i="9"/>
  <c r="N45" i="9"/>
  <c r="M45" i="9"/>
  <c r="N40" i="9"/>
  <c r="M40" i="9"/>
  <c r="N34" i="9"/>
  <c r="M34" i="9"/>
  <c r="I22" i="5"/>
  <c r="I21" i="5"/>
  <c r="M22" i="5"/>
  <c r="M21" i="5"/>
  <c r="P24" i="6"/>
  <c r="P23" i="6"/>
  <c r="O3" i="6"/>
  <c r="O85" i="9"/>
  <c r="P85" i="9" s="1"/>
  <c r="O81" i="9"/>
  <c r="P81" i="9" s="1"/>
  <c r="O79" i="9"/>
  <c r="P79" i="9" s="1"/>
  <c r="O78" i="9"/>
  <c r="P78" i="9" s="1"/>
  <c r="O77" i="9"/>
  <c r="P77" i="9" s="1"/>
  <c r="O76" i="9"/>
  <c r="P76" i="9" s="1"/>
  <c r="O74" i="9"/>
  <c r="P74" i="9" s="1"/>
  <c r="O73" i="9"/>
  <c r="P73" i="9" s="1"/>
  <c r="O71" i="9"/>
  <c r="P71" i="9" s="1"/>
  <c r="O70" i="9"/>
  <c r="P70" i="9" s="1"/>
  <c r="O68" i="9"/>
  <c r="P68" i="9" s="1"/>
  <c r="O67" i="9"/>
  <c r="P67" i="9" s="1"/>
  <c r="O65" i="9"/>
  <c r="P65" i="9" s="1"/>
  <c r="O64" i="9"/>
  <c r="P64" i="9" s="1"/>
  <c r="O63" i="9"/>
  <c r="P63" i="9" s="1"/>
  <c r="O42" i="9"/>
  <c r="P42" i="9" s="1"/>
  <c r="O39" i="9"/>
  <c r="P39" i="9" s="1"/>
  <c r="O38" i="9"/>
  <c r="P38" i="9" s="1"/>
  <c r="O37" i="9"/>
  <c r="O33" i="9"/>
  <c r="P33" i="9" s="1"/>
  <c r="O32" i="9"/>
  <c r="P32" i="9" s="1"/>
  <c r="O31" i="9"/>
  <c r="P31" i="9" s="1"/>
  <c r="O30" i="9"/>
  <c r="P30" i="9" s="1"/>
  <c r="O29" i="9"/>
  <c r="P29" i="9" s="1"/>
  <c r="O28" i="9"/>
  <c r="P28" i="9" s="1"/>
  <c r="O27" i="9"/>
  <c r="P27" i="9" s="1"/>
  <c r="O24" i="9"/>
  <c r="P24" i="9" s="1"/>
  <c r="O23" i="9"/>
  <c r="O22" i="9"/>
  <c r="P22" i="9" s="1"/>
  <c r="P21" i="9"/>
  <c r="O17" i="9"/>
  <c r="P17" i="9" s="1"/>
  <c r="O16" i="9"/>
  <c r="P16" i="9" s="1"/>
  <c r="O15" i="9"/>
  <c r="P15" i="9" s="1"/>
  <c r="O14" i="9"/>
  <c r="P14" i="9" s="1"/>
  <c r="O13" i="9"/>
  <c r="P13" i="9" s="1"/>
  <c r="O12" i="9"/>
  <c r="P12" i="9" s="1"/>
  <c r="O11" i="9"/>
  <c r="P11" i="9" s="1"/>
  <c r="O10" i="9"/>
  <c r="P10" i="9" s="1"/>
  <c r="O9" i="9"/>
  <c r="P9" i="9" s="1"/>
  <c r="N93" i="11"/>
  <c r="K93" i="11"/>
  <c r="J93" i="11"/>
  <c r="I93" i="11"/>
  <c r="H93" i="11"/>
  <c r="G93" i="11"/>
  <c r="E93" i="11"/>
  <c r="K69" i="12"/>
  <c r="O49" i="9" l="1"/>
  <c r="P49" i="9" s="1"/>
  <c r="O50" i="9"/>
  <c r="P50" i="9" s="1"/>
  <c r="O83" i="9"/>
  <c r="P83" i="9" s="1"/>
  <c r="O59" i="9"/>
  <c r="P59" i="9" s="1"/>
  <c r="O54" i="9"/>
  <c r="P54" i="9" s="1"/>
  <c r="O55" i="9"/>
  <c r="P55" i="9" s="1"/>
  <c r="O34" i="9"/>
  <c r="P34" i="9" s="1"/>
  <c r="O25" i="9"/>
  <c r="P25" i="9" s="1"/>
  <c r="O46" i="9"/>
  <c r="P46" i="9" s="1"/>
  <c r="O47" i="9"/>
  <c r="P47" i="9" s="1"/>
  <c r="O18" i="9"/>
  <c r="P18" i="9" s="1"/>
  <c r="O65" i="10"/>
  <c r="O40" i="9"/>
  <c r="P40" i="9" s="1"/>
  <c r="M57" i="9"/>
  <c r="O36" i="9"/>
  <c r="P36" i="9" s="1"/>
  <c r="O52" i="9"/>
  <c r="P52" i="9" s="1"/>
  <c r="O53" i="9"/>
  <c r="P53" i="9" s="1"/>
  <c r="O45" i="9"/>
  <c r="P45" i="9" s="1"/>
  <c r="N57" i="9"/>
  <c r="O15" i="15"/>
  <c r="M20" i="10"/>
  <c r="O57" i="9" l="1"/>
  <c r="P57" i="9" s="1"/>
  <c r="H79" i="11"/>
  <c r="M20" i="15" l="1"/>
  <c r="M15" i="15"/>
  <c r="M24" i="15"/>
  <c r="M23" i="15"/>
  <c r="M63" i="10"/>
  <c r="M65" i="10" s="1"/>
  <c r="M45" i="10"/>
  <c r="M33" i="10"/>
  <c r="M14" i="10"/>
  <c r="M9" i="10"/>
  <c r="I22" i="8"/>
  <c r="H22" i="8"/>
  <c r="M25" i="15" l="1"/>
  <c r="M10" i="15"/>
  <c r="H33" i="2" l="1"/>
  <c r="N26" i="12" l="1"/>
  <c r="G26" i="12"/>
  <c r="H26" i="12"/>
  <c r="N11" i="12"/>
  <c r="G11" i="12"/>
  <c r="H11" i="12"/>
  <c r="N12" i="13"/>
  <c r="H12" i="13"/>
  <c r="G12" i="13"/>
  <c r="N20" i="13"/>
  <c r="G20" i="13"/>
  <c r="H20" i="13"/>
  <c r="N42" i="13"/>
  <c r="G42" i="13"/>
  <c r="H42" i="13"/>
  <c r="O9" i="10"/>
  <c r="K25" i="9" l="1"/>
  <c r="H54" i="4" l="1"/>
  <c r="G46" i="13" l="1"/>
  <c r="L79" i="11" l="1"/>
  <c r="J83" i="9" l="1"/>
  <c r="G83" i="9"/>
  <c r="C83" i="9"/>
  <c r="B83" i="9"/>
  <c r="K83" i="9"/>
  <c r="I83" i="9"/>
  <c r="H83" i="9"/>
  <c r="F83" i="9"/>
  <c r="E83" i="9"/>
  <c r="D83" i="9"/>
  <c r="K59" i="9"/>
  <c r="K55" i="9"/>
  <c r="K54" i="9"/>
  <c r="K53" i="9"/>
  <c r="K52" i="9"/>
  <c r="K50" i="9"/>
  <c r="K49" i="9"/>
  <c r="K47" i="9"/>
  <c r="K46" i="9"/>
  <c r="K45" i="9"/>
  <c r="K34" i="9"/>
  <c r="K18" i="9"/>
  <c r="K40" i="9" l="1"/>
  <c r="K57" i="9"/>
  <c r="H24" i="6" l="1"/>
  <c r="E22" i="5"/>
  <c r="C19" i="5" s="1"/>
  <c r="L24" i="6"/>
  <c r="J20" i="6" s="1"/>
  <c r="D24" i="6"/>
  <c r="B20" i="6" s="1"/>
  <c r="H23" i="6" l="1"/>
  <c r="J52" i="9" l="1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N79" i="11"/>
  <c r="K79" i="11"/>
  <c r="J79" i="11"/>
  <c r="I79" i="11"/>
  <c r="G79" i="11"/>
  <c r="F25" i="9" l="1"/>
  <c r="E25" i="9"/>
  <c r="D25" i="9"/>
  <c r="C25" i="9"/>
  <c r="B25" i="9"/>
  <c r="J36" i="9"/>
  <c r="E79" i="11"/>
  <c r="C79" i="11"/>
  <c r="B79" i="11"/>
  <c r="O45" i="10"/>
  <c r="O14" i="10"/>
  <c r="H15" i="2"/>
  <c r="O86" i="14" l="1"/>
  <c r="O82" i="14"/>
  <c r="O81" i="14"/>
  <c r="O80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1" i="14"/>
  <c r="O30" i="14"/>
  <c r="O29" i="14"/>
  <c r="O28" i="14"/>
  <c r="O27" i="14"/>
  <c r="O26" i="14"/>
  <c r="O24" i="14"/>
  <c r="O23" i="14"/>
  <c r="O22" i="14"/>
  <c r="O21" i="14"/>
  <c r="O19" i="14"/>
  <c r="O18" i="14"/>
  <c r="O16" i="14"/>
  <c r="O15" i="14"/>
  <c r="O14" i="14"/>
  <c r="O13" i="14"/>
  <c r="O12" i="14"/>
  <c r="O11" i="14"/>
  <c r="O10" i="14"/>
  <c r="O9" i="14"/>
  <c r="O7" i="14"/>
  <c r="J59" i="9" l="1"/>
  <c r="I59" i="9"/>
  <c r="H59" i="9"/>
  <c r="G59" i="9"/>
  <c r="F59" i="9"/>
  <c r="E59" i="9"/>
  <c r="D59" i="9"/>
  <c r="C59" i="9"/>
  <c r="B59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3" i="9"/>
  <c r="I53" i="9"/>
  <c r="H53" i="9"/>
  <c r="G53" i="9"/>
  <c r="F53" i="9"/>
  <c r="E53" i="9"/>
  <c r="D53" i="9"/>
  <c r="C53" i="9"/>
  <c r="B53" i="9"/>
  <c r="J50" i="9"/>
  <c r="I50" i="9"/>
  <c r="H50" i="9"/>
  <c r="G50" i="9"/>
  <c r="F50" i="9"/>
  <c r="E50" i="9"/>
  <c r="D50" i="9"/>
  <c r="C50" i="9"/>
  <c r="B50" i="9"/>
  <c r="J49" i="9"/>
  <c r="I49" i="9"/>
  <c r="H49" i="9"/>
  <c r="G49" i="9"/>
  <c r="F49" i="9"/>
  <c r="E49" i="9"/>
  <c r="D49" i="9"/>
  <c r="C49" i="9"/>
  <c r="B49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J45" i="9"/>
  <c r="I45" i="9"/>
  <c r="H45" i="9"/>
  <c r="G45" i="9"/>
  <c r="F45" i="9"/>
  <c r="E45" i="9"/>
  <c r="D45" i="9"/>
  <c r="C45" i="9"/>
  <c r="B45" i="9"/>
  <c r="F57" i="9" l="1"/>
  <c r="B57" i="9"/>
  <c r="C57" i="9"/>
  <c r="E57" i="9"/>
  <c r="G57" i="9"/>
  <c r="H57" i="9"/>
  <c r="D57" i="9"/>
  <c r="I57" i="9"/>
  <c r="J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R19" i="15"/>
  <c r="S19" i="15" s="1"/>
  <c r="R18" i="15"/>
  <c r="S18" i="15" s="1"/>
  <c r="R14" i="15"/>
  <c r="S14" i="15" s="1"/>
  <c r="R13" i="15"/>
  <c r="S13" i="15" s="1"/>
  <c r="R9" i="15"/>
  <c r="S9" i="15" s="1"/>
  <c r="R8" i="15"/>
  <c r="S8" i="15" s="1"/>
  <c r="O24" i="15"/>
  <c r="O23" i="15"/>
  <c r="O20" i="15"/>
  <c r="H25" i="15" l="1"/>
  <c r="I25" i="15"/>
  <c r="G25" i="15"/>
  <c r="R15" i="15"/>
  <c r="S15" i="15" s="1"/>
  <c r="B25" i="15"/>
  <c r="C25" i="15"/>
  <c r="D25" i="15"/>
  <c r="E25" i="15"/>
  <c r="F25" i="15"/>
  <c r="R10" i="15"/>
  <c r="S10" i="15" s="1"/>
  <c r="R20" i="15"/>
  <c r="S20" i="15" s="1"/>
  <c r="R24" i="15"/>
  <c r="S24" i="15" s="1"/>
  <c r="R23" i="15"/>
  <c r="S23" i="15" s="1"/>
  <c r="R25" i="15" l="1"/>
  <c r="S25" i="15" s="1"/>
  <c r="K24" i="15"/>
  <c r="J24" i="15"/>
  <c r="K23" i="15"/>
  <c r="J23" i="15"/>
  <c r="K20" i="15"/>
  <c r="J20" i="15"/>
  <c r="K15" i="15"/>
  <c r="J15" i="15"/>
  <c r="K10" i="15"/>
  <c r="J10" i="15"/>
  <c r="Q67" i="10"/>
  <c r="Q61" i="10"/>
  <c r="R61" i="10" s="1"/>
  <c r="Q59" i="10"/>
  <c r="R59" i="10" s="1"/>
  <c r="Q58" i="10"/>
  <c r="R58" i="10" s="1"/>
  <c r="Q49" i="10"/>
  <c r="Q48" i="10"/>
  <c r="R48" i="10" s="1"/>
  <c r="Q44" i="10"/>
  <c r="Q43" i="10"/>
  <c r="Q42" i="10"/>
  <c r="Q41" i="10"/>
  <c r="Q40" i="10"/>
  <c r="Q39" i="10"/>
  <c r="R39" i="10" s="1"/>
  <c r="Q38" i="10"/>
  <c r="Q37" i="10"/>
  <c r="Q36" i="10"/>
  <c r="Q32" i="10"/>
  <c r="Q31" i="10"/>
  <c r="Q30" i="10"/>
  <c r="Q28" i="10"/>
  <c r="Q27" i="10"/>
  <c r="R27" i="10" s="1"/>
  <c r="Q26" i="10"/>
  <c r="R26" i="10" s="1"/>
  <c r="Q23" i="10"/>
  <c r="R23" i="10" s="1"/>
  <c r="Q22" i="10"/>
  <c r="Q21" i="10"/>
  <c r="R21" i="10" s="1"/>
  <c r="Q12" i="10"/>
  <c r="Q11" i="10"/>
  <c r="R11" i="10" s="1"/>
  <c r="J25" i="15" l="1"/>
  <c r="K25" i="15"/>
  <c r="H22" i="2" l="1"/>
  <c r="H35" i="2" s="1"/>
  <c r="H39" i="2" s="1"/>
  <c r="H47" i="4"/>
  <c r="H56" i="4" s="1"/>
  <c r="H60" i="4" s="1"/>
  <c r="H23" i="4"/>
  <c r="H16" i="4"/>
  <c r="H19" i="4" s="1"/>
  <c r="I86" i="14"/>
  <c r="I82" i="14"/>
  <c r="I81" i="14"/>
  <c r="I80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1" i="14"/>
  <c r="I30" i="14"/>
  <c r="I29" i="14"/>
  <c r="I28" i="14"/>
  <c r="I27" i="14"/>
  <c r="I26" i="14"/>
  <c r="I24" i="14"/>
  <c r="I23" i="14"/>
  <c r="I22" i="14"/>
  <c r="I21" i="14"/>
  <c r="I19" i="14"/>
  <c r="I18" i="14"/>
  <c r="I16" i="14"/>
  <c r="I15" i="14"/>
  <c r="I14" i="14"/>
  <c r="I13" i="14"/>
  <c r="I12" i="14"/>
  <c r="I11" i="14"/>
  <c r="I10" i="14"/>
  <c r="I9" i="14"/>
  <c r="I7" i="14"/>
  <c r="H86" i="14"/>
  <c r="H82" i="14"/>
  <c r="H81" i="14"/>
  <c r="H80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1" i="14"/>
  <c r="H30" i="14"/>
  <c r="H29" i="14"/>
  <c r="H28" i="14"/>
  <c r="H27" i="14"/>
  <c r="H26" i="14"/>
  <c r="H24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49" i="13"/>
  <c r="H45" i="13"/>
  <c r="H44" i="13"/>
  <c r="H43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9" i="13"/>
  <c r="G45" i="13"/>
  <c r="G44" i="13"/>
  <c r="G43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H72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5" i="12"/>
  <c r="H24" i="12"/>
  <c r="H23" i="12"/>
  <c r="H22" i="12"/>
  <c r="H21" i="12"/>
  <c r="H20" i="12"/>
  <c r="H19" i="12"/>
  <c r="H18" i="12"/>
  <c r="H17" i="12"/>
  <c r="H15" i="12"/>
  <c r="H14" i="12"/>
  <c r="H13" i="12"/>
  <c r="H12" i="12"/>
  <c r="H10" i="12"/>
  <c r="H9" i="12"/>
  <c r="H8" i="12"/>
  <c r="H7" i="12"/>
  <c r="G72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5" i="12"/>
  <c r="G24" i="12"/>
  <c r="G23" i="12"/>
  <c r="G22" i="12"/>
  <c r="G21" i="12"/>
  <c r="G20" i="12"/>
  <c r="G19" i="12"/>
  <c r="G18" i="12"/>
  <c r="G17" i="12"/>
  <c r="G15" i="12"/>
  <c r="G14" i="12"/>
  <c r="G13" i="12"/>
  <c r="G12" i="12"/>
  <c r="G10" i="12"/>
  <c r="G9" i="12"/>
  <c r="G8" i="12"/>
  <c r="H25" i="4" l="1"/>
  <c r="H29" i="4" s="1"/>
  <c r="H84" i="14"/>
  <c r="H47" i="13"/>
  <c r="H46" i="13"/>
  <c r="I84" i="14"/>
  <c r="I83" i="14"/>
  <c r="H70" i="12"/>
  <c r="H69" i="12"/>
  <c r="H83" i="14"/>
  <c r="G47" i="13"/>
  <c r="G70" i="12"/>
  <c r="G69" i="12"/>
  <c r="Q64" i="10"/>
  <c r="R64" i="10" s="1"/>
  <c r="Q63" i="10"/>
  <c r="R63" i="10" s="1"/>
  <c r="Q62" i="10"/>
  <c r="R62" i="10" s="1"/>
  <c r="Q24" i="10"/>
  <c r="R24" i="10" s="1"/>
  <c r="Q35" i="10" l="1"/>
  <c r="R35" i="10" s="1"/>
  <c r="Q65" i="10"/>
  <c r="R65" i="10" s="1"/>
  <c r="Q69" i="10"/>
  <c r="R69" i="10" s="1"/>
  <c r="Q60" i="10"/>
  <c r="R60" i="10" s="1"/>
  <c r="Q57" i="10"/>
  <c r="R57" i="10" s="1"/>
  <c r="Q56" i="10"/>
  <c r="R56" i="10" s="1"/>
  <c r="Q55" i="10"/>
  <c r="R55" i="10" s="1"/>
  <c r="Q54" i="10"/>
  <c r="R54" i="10" s="1"/>
  <c r="Q53" i="10"/>
  <c r="R53" i="10" s="1"/>
  <c r="Q52" i="10"/>
  <c r="R52" i="10" s="1"/>
  <c r="Q51" i="10"/>
  <c r="R51" i="10" s="1"/>
  <c r="Q50" i="10"/>
  <c r="R50" i="10" s="1"/>
  <c r="Q47" i="10"/>
  <c r="R47" i="10" s="1"/>
  <c r="Q45" i="10"/>
  <c r="R45" i="10" s="1"/>
  <c r="Q29" i="10"/>
  <c r="R29" i="10" s="1"/>
  <c r="Q25" i="10"/>
  <c r="R25" i="10" s="1"/>
  <c r="R18" i="10"/>
  <c r="Q17" i="10"/>
  <c r="R17" i="10" s="1"/>
  <c r="Q16" i="10"/>
  <c r="R16" i="10" s="1"/>
  <c r="Q10" i="10"/>
  <c r="R10" i="10" s="1"/>
  <c r="Q15" i="10" l="1"/>
  <c r="R15" i="10" s="1"/>
  <c r="Q20" i="10"/>
  <c r="R20" i="10" s="1"/>
  <c r="B18" i="9"/>
  <c r="C18" i="9"/>
  <c r="D18" i="9"/>
  <c r="E18" i="9"/>
  <c r="F18" i="9"/>
  <c r="G18" i="9"/>
  <c r="H18" i="9"/>
  <c r="I18" i="9"/>
  <c r="J18" i="9"/>
  <c r="G25" i="9"/>
  <c r="H25" i="9"/>
  <c r="I25" i="9"/>
  <c r="J25" i="9"/>
  <c r="B34" i="9"/>
  <c r="C34" i="9"/>
  <c r="D34" i="9"/>
  <c r="E34" i="9"/>
  <c r="F34" i="9"/>
  <c r="G34" i="9"/>
  <c r="H34" i="9"/>
  <c r="I34" i="9"/>
  <c r="J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J40" i="9"/>
  <c r="I40" i="9" l="1"/>
  <c r="N19" i="12"/>
  <c r="N64" i="11" l="1"/>
  <c r="K64" i="11"/>
  <c r="J64" i="11"/>
  <c r="I64" i="11"/>
  <c r="H64" i="11"/>
  <c r="G64" i="11"/>
  <c r="K20" i="10" l="1"/>
  <c r="K33" i="10" s="1"/>
  <c r="K65" i="10"/>
  <c r="K14" i="10"/>
  <c r="K9" i="10"/>
  <c r="E64" i="11" l="1"/>
  <c r="C64" i="11"/>
  <c r="B64" i="11"/>
  <c r="G49" i="11" l="1"/>
  <c r="N49" i="11" l="1"/>
  <c r="K49" i="11"/>
  <c r="J49" i="11"/>
  <c r="I49" i="11"/>
  <c r="H49" i="11"/>
  <c r="E49" i="11"/>
  <c r="C49" i="11"/>
  <c r="B49" i="11"/>
  <c r="N17" i="13" l="1"/>
  <c r="N15" i="13"/>
  <c r="N14" i="13"/>
  <c r="N35" i="13"/>
  <c r="N39" i="13" l="1"/>
  <c r="N18" i="13"/>
  <c r="N66" i="12"/>
  <c r="N58" i="12"/>
  <c r="N36" i="12"/>
  <c r="N24" i="12"/>
  <c r="N20" i="12"/>
  <c r="C20" i="10" l="1"/>
  <c r="J14" i="10"/>
  <c r="I14" i="10"/>
  <c r="H14" i="10"/>
  <c r="G14" i="10"/>
  <c r="F14" i="10"/>
  <c r="E14" i="10"/>
  <c r="D14" i="10"/>
  <c r="C14" i="10"/>
  <c r="Q14" i="10"/>
  <c r="R14" i="10" s="1"/>
  <c r="Q33" i="10" l="1"/>
  <c r="R33" i="10" s="1"/>
  <c r="Q9" i="10"/>
  <c r="R9" i="10" s="1"/>
  <c r="K3" i="6" l="1"/>
  <c r="N26" i="13" l="1"/>
  <c r="N47" i="12"/>
  <c r="N48" i="12" l="1"/>
  <c r="N49" i="12"/>
  <c r="N12" i="12"/>
  <c r="N34" i="11"/>
  <c r="J20" i="10" l="1"/>
  <c r="J33" i="10" s="1"/>
  <c r="J9" i="10"/>
  <c r="F22" i="8" l="1"/>
  <c r="E22" i="8"/>
  <c r="J65" i="10" l="1"/>
  <c r="K34" i="11"/>
  <c r="N50" i="12"/>
  <c r="N28" i="13"/>
  <c r="N27" i="13"/>
  <c r="N30" i="13"/>
  <c r="L83" i="14"/>
  <c r="N83" i="14" s="1"/>
  <c r="O83" i="14" l="1"/>
  <c r="L84" i="14"/>
  <c r="N84" i="14" s="1"/>
  <c r="O84" i="14" l="1"/>
  <c r="J34" i="11"/>
  <c r="I34" i="11"/>
  <c r="H34" i="11"/>
  <c r="E34" i="11"/>
  <c r="C34" i="11"/>
  <c r="B34" i="11"/>
  <c r="N55" i="12" l="1"/>
  <c r="N29" i="13" l="1"/>
  <c r="N38" i="13"/>
  <c r="N7" i="12"/>
  <c r="N8" i="12"/>
  <c r="N9" i="12"/>
  <c r="N10" i="12"/>
  <c r="N13" i="12"/>
  <c r="N14" i="12"/>
  <c r="N15" i="12"/>
  <c r="N17" i="12"/>
  <c r="N18" i="12"/>
  <c r="N21" i="12"/>
  <c r="N22" i="12"/>
  <c r="N23" i="12"/>
  <c r="N25" i="12"/>
  <c r="N27" i="12"/>
  <c r="N28" i="12"/>
  <c r="N29" i="12"/>
  <c r="N30" i="12"/>
  <c r="N31" i="12"/>
  <c r="N32" i="12"/>
  <c r="N33" i="12"/>
  <c r="N34" i="12"/>
  <c r="N35" i="12"/>
  <c r="N37" i="12"/>
  <c r="N38" i="12"/>
  <c r="N39" i="12"/>
  <c r="N40" i="12"/>
  <c r="N41" i="12"/>
  <c r="N42" i="12"/>
  <c r="N44" i="12"/>
  <c r="N45" i="12"/>
  <c r="N46" i="12"/>
  <c r="N51" i="12"/>
  <c r="N52" i="12"/>
  <c r="N53" i="12"/>
  <c r="N54" i="12"/>
  <c r="N56" i="12"/>
  <c r="N57" i="12"/>
  <c r="N59" i="12"/>
  <c r="N60" i="12"/>
  <c r="N61" i="12"/>
  <c r="N62" i="12"/>
  <c r="N63" i="12"/>
  <c r="N64" i="12"/>
  <c r="N65" i="12"/>
  <c r="N67" i="12"/>
  <c r="N68" i="12"/>
  <c r="I65" i="10" l="1"/>
  <c r="I20" i="10"/>
  <c r="I33" i="10" s="1"/>
  <c r="I9" i="10"/>
  <c r="B22" i="8" l="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7" i="13" l="1"/>
  <c r="N7" i="13"/>
  <c r="N8" i="13"/>
  <c r="N9" i="13"/>
  <c r="N10" i="13"/>
  <c r="N11" i="13"/>
  <c r="N13" i="13"/>
  <c r="N16" i="13"/>
  <c r="N19" i="13"/>
  <c r="N21" i="13"/>
  <c r="N22" i="13"/>
  <c r="N23" i="13"/>
  <c r="N24" i="13"/>
  <c r="N25" i="13"/>
  <c r="N31" i="13"/>
  <c r="N32" i="13"/>
  <c r="N33" i="13"/>
  <c r="N34" i="13"/>
  <c r="N36" i="13"/>
  <c r="N37" i="13"/>
  <c r="N40" i="13"/>
  <c r="N41" i="13"/>
  <c r="N43" i="13"/>
  <c r="N44" i="13"/>
  <c r="N45" i="13"/>
  <c r="N49" i="13"/>
  <c r="N72" i="12"/>
  <c r="L23" i="6"/>
  <c r="D23" i="6"/>
  <c r="E21" i="5"/>
  <c r="K70" i="12" l="1"/>
  <c r="N69" i="12"/>
  <c r="N46" i="13"/>
  <c r="N70" i="12" l="1"/>
</calcChain>
</file>

<file path=xl/sharedStrings.xml><?xml version="1.0" encoding="utf-8"?>
<sst xmlns="http://schemas.openxmlformats.org/spreadsheetml/2006/main" count="1022" uniqueCount="497">
  <si>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</si>
  <si>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</si>
  <si>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</si>
  <si>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</si>
  <si>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</si>
  <si>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</si>
  <si>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</si>
  <si>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</si>
  <si>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</si>
  <si>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</si>
  <si>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</si>
  <si>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</si>
  <si>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</si>
  <si>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</si>
  <si>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</si>
  <si>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</si>
  <si>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</si>
  <si>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</si>
  <si>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</si>
  <si>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</si>
  <si>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</si>
  <si>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</si>
  <si>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</si>
  <si>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</si>
  <si>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</si>
  <si>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</si>
  <si>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</si>
  <si>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</si>
  <si>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</si>
  <si>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</si>
  <si>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</si>
  <si>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</si>
  <si>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</si>
  <si>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Domestic use 3/ </t>
  </si>
  <si>
    <t xml:space="preserve"> Total use</t>
  </si>
  <si>
    <t>Average farm price 4/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</si>
  <si>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</si>
  <si>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</si>
  <si>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</si>
  <si>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</si>
  <si>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</si>
  <si>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</si>
  <si>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</si>
  <si>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</si>
  <si>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</si>
  <si>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</si>
  <si>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</si>
  <si>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</si>
  <si>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</si>
  <si>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</si>
  <si>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</si>
  <si>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</si>
  <si>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</si>
  <si>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</si>
  <si>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</si>
  <si>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</si>
  <si>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</si>
  <si>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</si>
  <si>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</si>
  <si>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</si>
  <si>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</si>
  <si>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</si>
  <si>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</si>
  <si>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</si>
  <si>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</si>
  <si>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</si>
  <si>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</si>
  <si>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</si>
  <si>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</si>
  <si>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</si>
  <si>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</si>
  <si>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</si>
  <si>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</si>
  <si>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</si>
  <si>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</si>
  <si>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</si>
  <si>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</si>
  <si>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</si>
  <si>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</si>
  <si>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</si>
  <si>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</si>
  <si>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</si>
  <si>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</si>
  <si>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</si>
  <si>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</si>
  <si>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</si>
  <si>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</si>
  <si>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</si>
  <si>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</si>
  <si>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</si>
  <si>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</si>
  <si>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</si>
  <si>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</si>
  <si>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</si>
  <si>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</si>
  <si>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</si>
  <si>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</si>
  <si>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</si>
  <si>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</si>
  <si>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</si>
  <si>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</si>
  <si>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</si>
  <si>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</si>
  <si>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</si>
  <si>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European Union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</si>
  <si>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</si>
  <si>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</si>
  <si>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</si>
  <si>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</si>
  <si>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</si>
  <si>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</si>
  <si>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</si>
  <si>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</si>
  <si>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</si>
  <si>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</si>
  <si>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</si>
  <si>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</si>
  <si>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</si>
  <si>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</si>
  <si>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</si>
  <si>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</si>
  <si>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</si>
  <si>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</si>
  <si>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</si>
  <si>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</si>
  <si>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</si>
  <si>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</si>
  <si>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</si>
  <si>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</si>
  <si>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</si>
  <si>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</si>
  <si>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</si>
  <si>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</si>
  <si>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</si>
  <si>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</si>
  <si>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</si>
  <si>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</si>
  <si>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</si>
  <si>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</si>
  <si>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</si>
  <si>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</si>
  <si>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</si>
  <si>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</si>
  <si>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</si>
  <si>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</si>
  <si>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</si>
  <si>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</si>
  <si>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</si>
  <si>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</si>
  <si>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</si>
  <si>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</si>
  <si>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</si>
  <si>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</si>
  <si>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</si>
  <si>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</si>
  <si>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</si>
  <si>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</si>
  <si>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</si>
  <si>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</si>
  <si>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</si>
  <si>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</si>
  <si>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</si>
  <si>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</si>
  <si>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</si>
  <si>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</si>
  <si>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</si>
  <si>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</si>
  <si>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</si>
  <si>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</si>
  <si>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</si>
  <si>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</si>
  <si>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</si>
  <si>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</si>
  <si>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</si>
  <si>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</si>
  <si>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</si>
  <si>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</si>
  <si>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</si>
  <si>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</si>
  <si>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</si>
  <si>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</si>
  <si>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</si>
  <si>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</si>
  <si>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</si>
  <si>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</si>
  <si>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</si>
  <si>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</si>
  <si>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</si>
  <si>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</si>
  <si>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</si>
  <si>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</si>
  <si>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</si>
  <si>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</si>
  <si>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</si>
  <si>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</si>
  <si>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</si>
  <si>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</si>
  <si>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</si>
  <si>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</si>
  <si>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</si>
  <si>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</si>
  <si>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</si>
  <si>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</si>
  <si>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</si>
  <si>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</si>
  <si>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</si>
  <si>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</si>
  <si>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</si>
  <si>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</si>
  <si>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</si>
  <si>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</si>
  <si>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</si>
  <si>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</si>
  <si>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</si>
  <si>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</si>
  <si>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</si>
  <si>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</si>
  <si>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</si>
  <si>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</si>
  <si>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</si>
  <si>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</si>
  <si>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</si>
  <si>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</si>
  <si>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</si>
  <si>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</si>
  <si>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</si>
  <si>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</si>
  <si>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</si>
  <si>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</si>
  <si>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</si>
  <si>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</si>
  <si>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</si>
  <si>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</si>
  <si>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</si>
  <si>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</si>
  <si>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</si>
  <si>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</si>
  <si>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</si>
  <si>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</si>
  <si>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</si>
  <si>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</si>
  <si>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</si>
  <si>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</si>
  <si>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</si>
  <si>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</si>
  <si>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</si>
  <si>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</si>
  <si>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</si>
  <si>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</si>
  <si>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</si>
  <si>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</si>
  <si>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>2019/20</t>
  </si>
  <si>
    <t xml:space="preserve">   average 2/</t>
  </si>
  <si>
    <t xml:space="preserve">               Other States 2/</t>
  </si>
  <si>
    <t xml:space="preserve">2018/19  </t>
  </si>
  <si>
    <t xml:space="preserve">Aug. 2019 </t>
  </si>
  <si>
    <t xml:space="preserve">Sept.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</si>
  <si>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</si>
  <si>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</si>
  <si>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</si>
  <si>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</si>
  <si>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</si>
  <si>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</si>
  <si>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</si>
  <si>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</si>
  <si>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</si>
  <si>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</si>
  <si>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</si>
  <si>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</si>
  <si>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</si>
  <si>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</si>
  <si>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</si>
  <si>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</si>
  <si>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</si>
  <si>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</si>
  <si>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</si>
  <si>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</si>
  <si>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</si>
  <si>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</si>
  <si>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</si>
  <si>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</si>
  <si>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</si>
  <si>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</si>
  <si>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</si>
  <si>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</si>
  <si>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</si>
  <si>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</si>
  <si>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</si>
  <si>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</si>
  <si>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</si>
  <si>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</si>
  <si>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</si>
  <si>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</si>
  <si>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</si>
  <si>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</si>
  <si>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</si>
  <si>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</si>
  <si>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</si>
  <si>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</si>
  <si>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</si>
  <si>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</si>
  <si>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</si>
  <si>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</si>
  <si>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</si>
  <si>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</si>
  <si>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</si>
  <si>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</si>
  <si>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</si>
  <si>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</si>
  <si>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</si>
  <si>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</si>
  <si>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</si>
  <si>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</si>
  <si>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</si>
  <si>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</si>
  <si>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</si>
  <si>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</si>
  <si>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</si>
  <si>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</si>
  <si>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</si>
  <si>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</si>
  <si>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</si>
  <si>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</si>
  <si>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</si>
  <si>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</si>
  <si>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</si>
  <si>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</si>
  <si>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</si>
  <si>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</si>
  <si>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</si>
  <si>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</si>
  <si>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</si>
  <si>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</si>
  <si>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</si>
  <si>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</si>
  <si>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</si>
  <si>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</si>
  <si>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</si>
  <si>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</si>
  <si>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</si>
  <si>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</si>
  <si>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</si>
  <si>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</si>
  <si>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</si>
  <si>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</si>
  <si>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</si>
  <si>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</si>
  <si>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</si>
  <si>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</si>
  <si>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</si>
  <si>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</si>
  <si>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</si>
  <si>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</si>
  <si>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</si>
  <si>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</si>
  <si>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</si>
  <si>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</si>
  <si>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</si>
  <si>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</si>
  <si>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</si>
  <si>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</si>
  <si>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</si>
  <si>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</si>
  <si>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</si>
  <si>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</si>
  <si>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</si>
  <si>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</si>
  <si>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</si>
  <si>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</si>
  <si>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</si>
  <si>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</si>
  <si>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May 2022 </t>
  </si>
  <si>
    <t xml:space="preserve">NQ = No quotes. 1/ Simple average of weekly quotes.  </t>
  </si>
  <si>
    <t>EUROPE and  FORMER SOVIET UNION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</si>
  <si>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</si>
  <si>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</si>
  <si>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</si>
  <si>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July 2022 </t>
  </si>
  <si>
    <t>Aug. 2022</t>
  </si>
  <si>
    <t>Weighted-average to date.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</si>
  <si>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</si>
  <si>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</si>
  <si>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</si>
  <si>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</si>
  <si>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</si>
  <si>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 xml:space="preserve">                  Change from a year earlier</t>
  </si>
  <si>
    <t>August 1 through</t>
  </si>
  <si>
    <t xml:space="preserve">- - = Not applicable. 1/  Total August–July marketing-year commercial shipments. 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</si>
  <si>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</si>
  <si>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</si>
  <si>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</si>
  <si>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</si>
  <si>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</si>
  <si>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</si>
  <si>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</si>
  <si>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</si>
  <si>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>2023/24  2/</t>
  </si>
  <si>
    <t xml:space="preserve">Mar. 2023 </t>
  </si>
  <si>
    <t>Apr. 2023</t>
  </si>
  <si>
    <t>El Salvador</t>
  </si>
  <si>
    <t xml:space="preserve">May 2023 </t>
  </si>
  <si>
    <t>2023/24 9/</t>
  </si>
  <si>
    <t xml:space="preserve">June 2023 </t>
  </si>
  <si>
    <t xml:space="preserve">                               2023/24</t>
  </si>
  <si>
    <t xml:space="preserve">July 2023 </t>
  </si>
  <si>
    <t xml:space="preserve">2022/23 </t>
  </si>
  <si>
    <t>For 2022/23, the medium- and short-grain SAFP remains a foreast until October</t>
  </si>
  <si>
    <t xml:space="preserve">Aug. 2023 </t>
  </si>
  <si>
    <t>through</t>
  </si>
  <si>
    <t>Totals may not add due to rounding. 1/ Total August–July marketing-year commercial shipments. 2/ Total of outstanding sales and shipments to date.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</si>
  <si>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</si>
  <si>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</si>
  <si>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</si>
  <si>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</si>
  <si>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</si>
  <si>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</si>
  <si>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</si>
  <si>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</si>
  <si>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</si>
  <si>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</si>
  <si>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</si>
  <si>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</si>
  <si>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</si>
  <si>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t xml:space="preserve">November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</si>
  <si>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</si>
  <si>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 xml:space="preserve">                 2023/24</t>
  </si>
  <si>
    <t>Nov. 2023</t>
  </si>
  <si>
    <t xml:space="preserve">December 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</si>
  <si>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</si>
  <si>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</si>
  <si>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</si>
  <si>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</si>
  <si>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</si>
  <si>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</si>
  <si>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</si>
  <si>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</si>
  <si>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r>
      <t xml:space="preserve">Source: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</si>
  <si>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</si>
  <si>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</si>
  <si>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</si>
  <si>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</si>
  <si>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</si>
  <si>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 xml:space="preserve">Dec. 2023 </t>
  </si>
  <si>
    <t>Chile</t>
  </si>
  <si>
    <t>El salvador</t>
  </si>
  <si>
    <t>Guinea-Bissau</t>
  </si>
  <si>
    <t>Kuwait</t>
  </si>
  <si>
    <t>U.S. dollars per cwt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</si>
  <si>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</si>
  <si>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</si>
  <si>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</si>
  <si>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</si>
  <si>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</si>
  <si>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</si>
  <si>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</si>
  <si>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</si>
  <si>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</si>
  <si>
    <t xml:space="preserve">Jan. 2024 </t>
  </si>
  <si>
    <t xml:space="preserve">Feb. 2024 </t>
  </si>
  <si>
    <t xml:space="preserve">   and residual 3/</t>
  </si>
  <si>
    <t>U.S. dollars cwt</t>
  </si>
  <si>
    <t>LONG-GRAIN:</t>
  </si>
  <si>
    <t>MEDIUM- AND SHORT-GRAIN:</t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</si>
  <si>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, monthly cash prices and marketing.</t>
    </r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</si>
  <si>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Quick Stats</t>
    </r>
    <r>
      <rPr>
        <sz val="9"/>
        <rFont val="Arial"/>
        <family val="2"/>
      </rPr>
      <t>.</t>
    </r>
  </si>
  <si>
    <t xml:space="preserve"> - - = Not applicable. 1/ Total August–July imports reported by the U.S. Departmant of Commerce, Bureau of the Census. </t>
  </si>
  <si>
    <t>U.S.</t>
  </si>
  <si>
    <t xml:space="preserve"> U.S. dollars per metric ton</t>
  </si>
  <si>
    <t>4/ New price series. Number 1, maximum 4-percent brokens, sacked, 25 kilograms, containerized, free on board, California mill, Mediterranean specs.</t>
  </si>
  <si>
    <t xml:space="preserve">7/ Long-grain, free on board vessel, Ho Chi Minh City, Vietnam. </t>
  </si>
  <si>
    <t>Mauritania</t>
  </si>
  <si>
    <t>3/ Season-average price forecast. The California 2023/24 season-average farm price remains a forecast until January 2025</t>
  </si>
  <si>
    <t>2024/25</t>
  </si>
  <si>
    <t>2025 1/</t>
  </si>
  <si>
    <t>2024/25  2/</t>
  </si>
  <si>
    <t xml:space="preserve">Mar. 2024 </t>
  </si>
  <si>
    <t>May 2 2/</t>
  </si>
  <si>
    <t>May 3 2/</t>
  </si>
  <si>
    <t xml:space="preserve">2/ Number 2, 4-percent brokens, sacked, free on board vessel, Gulf port. Prior to July 2015, free alongside vessel, U.S. Gulf port. </t>
  </si>
  <si>
    <t>1/ Market-year average prices are the simple average of monthly prices.</t>
  </si>
  <si>
    <t>3/ Does not include Turkey.</t>
  </si>
  <si>
    <t xml:space="preserve">  Other Europe 3/</t>
  </si>
  <si>
    <t>June 2/</t>
  </si>
  <si>
    <t>Updated June 12, 2024.</t>
  </si>
  <si>
    <t>May 2024 8/</t>
  </si>
  <si>
    <t>Jun. 2024 9/</t>
  </si>
  <si>
    <t>Apr. 2024</t>
  </si>
  <si>
    <t>May 30 2/</t>
  </si>
  <si>
    <t>May 31  2/</t>
  </si>
  <si>
    <t xml:space="preserve">June 2024 Rice Outlook Tables </t>
  </si>
  <si>
    <t>Weighted-average to date</t>
  </si>
  <si>
    <t>2/ 2023/24 preliminary.</t>
  </si>
  <si>
    <t>Country/region</t>
  </si>
  <si>
    <t xml:space="preserve"> 1/ Market-year production on a milled basis. 2/ Projected. </t>
  </si>
  <si>
    <t>1/ Projected.</t>
  </si>
  <si>
    <t xml:space="preserve">1/ Projected. 2/ Includes unaccounted imports (imports not assigned a particular market).  </t>
  </si>
  <si>
    <t>3/ Bulk, free on board vessel, New Orleans, LA.  For market year 2023/24, new crop prices are reported starting in May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</si>
</sst>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0.0%"/>
    <numFmt numFmtId="175" formatCode="#,##0.000_);\(#,##0.000\)"/>
    <numFmt numFmtId="176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25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11" fillId="4" borderId="5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37" fontId="18" fillId="0" borderId="0" xfId="9" quotePrefix="1" applyFont="1" applyAlignment="1">
      <alignment horizontal="lef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37" fontId="18" fillId="0" borderId="0" xfId="9" applyFont="1"/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1" fontId="4" fillId="4" borderId="1" xfId="9" applyNumberFormat="1" applyFont="1" applyFill="1" applyBorder="1" applyAlignment="1">
      <alignment horizontal="center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0" fontId="12" fillId="0" borderId="0" xfId="5" applyAlignment="1">
      <alignment horizontal="center"/>
    </xf>
    <xf numFmtId="2" fontId="3" fillId="0" borderId="0" xfId="5" applyNumberFormat="1" applyFont="1"/>
    <xf numFmtId="174" fontId="11" fillId="0" borderId="0" xfId="35" applyNumberFormat="1" applyFont="1" applyBorder="1"/>
    <xf numFmtId="174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4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4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6" fontId="0" fillId="0" borderId="0" xfId="1" applyNumberFormat="1" applyFont="1"/>
    <xf numFmtId="176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6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4" xfId="9" applyNumberFormat="1" applyFont="1" applyBorder="1" applyAlignment="1">
      <alignment horizontal="left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5" xfId="9" applyNumberFormat="1" applyFont="1" applyFill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4" fontId="4" fillId="0" borderId="0" xfId="9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37" fontId="4" fillId="4" borderId="5" xfId="9" quotePrefix="1" applyFont="1" applyFill="1" applyBorder="1" applyAlignment="1">
      <alignment horizontal="center"/>
    </xf>
    <xf numFmtId="171" fontId="4" fillId="4" borderId="5" xfId="9" applyNumberFormat="1" applyFont="1" applyFill="1" applyBorder="1" applyAlignment="1">
      <alignment horizontal="left"/>
    </xf>
    <xf numFmtId="164" fontId="3" fillId="4" borderId="18" xfId="0" applyFont="1" applyFill="1" applyBorder="1"/>
    <xf numFmtId="164" fontId="3" fillId="4" borderId="19" xfId="0" applyFont="1" applyFill="1" applyBorder="1"/>
    <xf numFmtId="164" fontId="0" fillId="4" borderId="21" xfId="0" applyFill="1" applyBorder="1"/>
    <xf numFmtId="164" fontId="3" fillId="4" borderId="22" xfId="0" applyFont="1" applyFill="1" applyBorder="1"/>
    <xf numFmtId="164" fontId="0" fillId="4" borderId="31" xfId="0" applyFill="1" applyBorder="1"/>
    <xf numFmtId="164" fontId="0" fillId="4" borderId="24" xfId="0" applyFill="1" applyBorder="1"/>
    <xf numFmtId="164" fontId="9" fillId="4" borderId="22" xfId="0" applyFont="1" applyFill="1" applyBorder="1"/>
    <xf numFmtId="176" fontId="3" fillId="4" borderId="22" xfId="1" applyNumberFormat="1" applyFont="1" applyFill="1" applyBorder="1"/>
    <xf numFmtId="164" fontId="3" fillId="4" borderId="24" xfId="0" applyFont="1" applyFill="1" applyBorder="1"/>
    <xf numFmtId="176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4" borderId="0" xfId="1" applyNumberFormat="1" applyFont="1" applyFill="1" applyBorder="1" applyAlignment="1">
      <alignment horizontal="right"/>
    </xf>
    <xf numFmtId="171" fontId="4" fillId="4" borderId="7" xfId="9" quotePrefix="1" applyNumberFormat="1" applyFont="1" applyFill="1" applyBorder="1" applyAlignment="1">
      <alignment horizontal="center"/>
    </xf>
    <xf numFmtId="164" fontId="3" fillId="4" borderId="7" xfId="0" applyFont="1" applyFill="1" applyBorder="1"/>
    <xf numFmtId="175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171" fontId="4" fillId="4" borderId="6" xfId="9" quotePrefix="1" applyNumberFormat="1" applyFont="1" applyFill="1" applyBorder="1" applyAlignment="1">
      <alignment horizontal="center"/>
    </xf>
    <xf numFmtId="1" fontId="21" fillId="3" borderId="0" xfId="9" quotePrefix="1" applyNumberFormat="1" applyFont="1" applyFill="1" applyAlignment="1">
      <alignment horizontal="right" wrapText="1"/>
    </xf>
    <xf numFmtId="167" fontId="4" fillId="0" borderId="4" xfId="3" applyNumberFormat="1" applyFont="1" applyBorder="1"/>
    <xf numFmtId="167" fontId="4" fillId="3" borderId="4" xfId="3" applyNumberFormat="1" applyFont="1" applyFill="1" applyBorder="1" applyAlignment="1">
      <alignment horizontal="center"/>
    </xf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5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3" borderId="6" xfId="9" applyNumberFormat="1" applyFont="1" applyFill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66" fontId="4" fillId="4" borderId="1" xfId="1" applyNumberFormat="1" applyFont="1" applyFill="1" applyBorder="1" applyAlignment="1">
      <alignment horizontal="right"/>
    </xf>
    <xf numFmtId="37" fontId="4" fillId="4" borderId="2" xfId="9" applyFont="1" applyFill="1" applyBorder="1" applyAlignment="1">
      <alignment horizontal="center"/>
    </xf>
    <xf numFmtId="167" fontId="4" fillId="0" borderId="4" xfId="9" applyNumberFormat="1" applyFont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4" fillId="0" borderId="0" xfId="9" applyNumberFormat="1" applyFont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6" fontId="4" fillId="0" borderId="0" xfId="1" applyNumberFormat="1" applyFont="1" applyFill="1" applyBorder="1" applyAlignment="1"/>
    <xf numFmtId="166" fontId="4" fillId="0" borderId="4" xfId="1" applyNumberFormat="1" applyFont="1" applyBorder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1" fontId="4" fillId="4" borderId="6" xfId="9" quotePrefix="1" applyNumberFormat="1" applyFont="1" applyFill="1" applyBorder="1" applyAlignment="1">
      <alignment horizontal="right"/>
    </xf>
    <xf numFmtId="164" fontId="4" fillId="4" borderId="29" xfId="0" applyFont="1" applyFill="1" applyBorder="1" applyAlignment="1">
      <alignment horizontal="right"/>
    </xf>
    <xf numFmtId="164" fontId="4" fillId="4" borderId="19" xfId="0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right"/>
    </xf>
    <xf numFmtId="164" fontId="4" fillId="0" borderId="0" xfId="0" applyFont="1" applyAlignment="1">
      <alignment horizontal="right"/>
    </xf>
    <xf numFmtId="164" fontId="4" fillId="4" borderId="19" xfId="0" applyFont="1" applyFill="1" applyBorder="1" applyAlignment="1">
      <alignment horizontal="center"/>
    </xf>
    <xf numFmtId="171" fontId="4" fillId="4" borderId="6" xfId="9" applyNumberFormat="1" applyFont="1" applyFill="1" applyBorder="1" applyAlignment="1">
      <alignment horizontal="right"/>
    </xf>
    <xf numFmtId="167" fontId="4" fillId="4" borderId="6" xfId="9" applyNumberFormat="1" applyFont="1" applyFill="1" applyBorder="1" applyAlignment="1">
      <alignment horizontal="center"/>
    </xf>
    <xf numFmtId="176" fontId="3" fillId="4" borderId="30" xfId="1" applyNumberFormat="1" applyFont="1" applyFill="1" applyBorder="1"/>
    <xf numFmtId="176" fontId="3" fillId="0" borderId="6" xfId="1" applyNumberFormat="1" applyFont="1" applyBorder="1"/>
    <xf numFmtId="176" fontId="4" fillId="0" borderId="6" xfId="1" applyNumberFormat="1" applyFont="1" applyBorder="1" applyAlignment="1">
      <alignment horizontal="right"/>
    </xf>
    <xf numFmtId="164" fontId="3" fillId="4" borderId="29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19" xfId="9" applyNumberFormat="1" applyFont="1" applyFill="1" applyBorder="1"/>
    <xf numFmtId="1" fontId="4" fillId="4" borderId="1" xfId="9" quotePrefix="1" applyNumberFormat="1" applyFont="1" applyFill="1" applyBorder="1" applyAlignment="1">
      <alignment horizontal="center"/>
    </xf>
    <xf numFmtId="1" fontId="4" fillId="4" borderId="0" xfId="9" applyNumberFormat="1" applyFont="1" applyFill="1" applyAlignment="1">
      <alignment horizontal="right"/>
    </xf>
    <xf numFmtId="1" fontId="4" fillId="4" borderId="1" xfId="9" applyNumberFormat="1" applyFont="1" applyFill="1" applyBorder="1" applyAlignment="1">
      <alignment horizontal="right"/>
    </xf>
    <xf numFmtId="1" fontId="4" fillId="0" borderId="0" xfId="9" applyNumberFormat="1" applyFont="1"/>
    <xf numFmtId="1" fontId="4" fillId="0" borderId="6" xfId="9" applyNumberFormat="1" applyFont="1" applyBorder="1"/>
    <xf numFmtId="1" fontId="15" fillId="0" borderId="0" xfId="9" applyNumberFormat="1" applyFont="1"/>
    <xf numFmtId="176" fontId="3" fillId="0" borderId="0" xfId="1" applyNumberFormat="1" applyFont="1" applyBorder="1" applyAlignment="1">
      <alignment horizontal="right"/>
    </xf>
    <xf numFmtId="176" fontId="3" fillId="0" borderId="6" xfId="1" applyNumberFormat="1" applyFont="1" applyBorder="1" applyAlignment="1">
      <alignment horizontal="right"/>
    </xf>
    <xf numFmtId="37" fontId="4" fillId="4" borderId="22" xfId="9" applyFont="1" applyFill="1" applyBorder="1" applyAlignment="1">
      <alignment horizontal="left"/>
    </xf>
    <xf numFmtId="3" fontId="4" fillId="4" borderId="34" xfId="9" applyNumberFormat="1" applyFont="1" applyFill="1" applyBorder="1"/>
    <xf numFmtId="3" fontId="4" fillId="0" borderId="20" xfId="9" quotePrefix="1" applyNumberFormat="1" applyFont="1" applyBorder="1" applyAlignment="1">
      <alignment horizontal="center"/>
    </xf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0" fillId="2" borderId="35" xfId="0" applyFill="1" applyBorder="1"/>
    <xf numFmtId="164" fontId="0" fillId="2" borderId="24" xfId="0" applyFill="1" applyBorder="1"/>
    <xf numFmtId="164" fontId="4" fillId="4" borderId="22" xfId="0" applyFont="1" applyFill="1" applyBorder="1"/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6" fillId="4" borderId="29" xfId="0" quotePrefix="1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right"/>
    </xf>
    <xf numFmtId="165" fontId="4" fillId="3" borderId="24" xfId="0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2" fontId="41" fillId="3" borderId="24" xfId="0" applyNumberFormat="1" applyFont="1" applyFill="1" applyBorder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164" fontId="4" fillId="3" borderId="24" xfId="0" applyFont="1" applyFill="1" applyBorder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0" borderId="0" xfId="4" applyNumberFormat="1" applyFont="1" applyAlignment="1">
      <alignment horizontal="right"/>
    </xf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169" fontId="22" fillId="4" borderId="22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24" xfId="4" applyFont="1" applyFill="1" applyBorder="1" applyAlignment="1">
      <alignment horizontal="center"/>
    </xf>
    <xf numFmtId="169" fontId="4" fillId="4" borderId="23" xfId="4" applyFont="1" applyFill="1" applyBorder="1" applyAlignment="1">
      <alignment horizontal="center"/>
    </xf>
    <xf numFmtId="169" fontId="4" fillId="0" borderId="6" xfId="4" applyFont="1" applyBorder="1" applyAlignment="1">
      <alignment horizontal="left"/>
    </xf>
    <xf numFmtId="37" fontId="4" fillId="4" borderId="0" xfId="9" quotePrefix="1" applyFont="1" applyFill="1" applyAlignment="1">
      <alignment horizontal="left"/>
    </xf>
    <xf numFmtId="167" fontId="4" fillId="4" borderId="0" xfId="9" applyNumberFormat="1" applyFont="1" applyFill="1"/>
    <xf numFmtId="37" fontId="4" fillId="4" borderId="22" xfId="9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37" fontId="4" fillId="4" borderId="34" xfId="9" quotePrefix="1" applyFont="1" applyFill="1" applyBorder="1"/>
    <xf numFmtId="167" fontId="4" fillId="4" borderId="20" xfId="9" applyNumberFormat="1" applyFont="1" applyFill="1" applyBorder="1"/>
    <xf numFmtId="37" fontId="4" fillId="4" borderId="22" xfId="9" quotePrefix="1" applyFont="1" applyFill="1" applyBorder="1"/>
    <xf numFmtId="170" fontId="4" fillId="4" borderId="0" xfId="9" applyNumberFormat="1" applyFont="1" applyFill="1" applyAlignment="1">
      <alignment horizontal="right"/>
    </xf>
    <xf numFmtId="167" fontId="4" fillId="4" borderId="0" xfId="9" applyNumberFormat="1" applyFont="1" applyFill="1" applyAlignment="1">
      <alignment horizontal="center"/>
    </xf>
    <xf numFmtId="166" fontId="4" fillId="4" borderId="0" xfId="1" quotePrefix="1" applyNumberFormat="1" applyFont="1" applyFill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171" fontId="4" fillId="4" borderId="23" xfId="9" quotePrefix="1" applyNumberFormat="1" applyFont="1" applyFill="1" applyBorder="1" applyAlignment="1">
      <alignment horizontal="center"/>
    </xf>
    <xf numFmtId="37" fontId="4" fillId="4" borderId="37" xfId="9" applyFont="1" applyFill="1" applyBorder="1"/>
    <xf numFmtId="166" fontId="4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7" fontId="3" fillId="0" borderId="0" xfId="5" applyNumberFormat="1" applyFont="1" applyAlignment="1">
      <alignment horizontal="center"/>
    </xf>
    <xf numFmtId="0" fontId="10" fillId="4" borderId="22" xfId="9" applyNumberFormat="1" applyFont="1" applyFill="1" applyBorder="1"/>
    <xf numFmtId="0" fontId="4" fillId="4" borderId="22" xfId="9" quotePrefix="1" applyNumberFormat="1" applyFont="1" applyFill="1" applyBorder="1"/>
    <xf numFmtId="0" fontId="4" fillId="4" borderId="22" xfId="9" applyNumberFormat="1" applyFont="1" applyFill="1" applyBorder="1"/>
    <xf numFmtId="0" fontId="10" fillId="4" borderId="22" xfId="9" quotePrefix="1" applyNumberFormat="1" applyFont="1" applyFill="1" applyBorder="1"/>
    <xf numFmtId="176" fontId="10" fillId="4" borderId="30" xfId="1" applyNumberFormat="1" applyFont="1" applyFill="1" applyBorder="1" applyAlignment="1" applyProtection="1"/>
    <xf numFmtId="176" fontId="4" fillId="4" borderId="33" xfId="1" applyNumberFormat="1" applyFont="1" applyFill="1" applyBorder="1" applyAlignment="1">
      <alignment horizontal="center"/>
    </xf>
    <xf numFmtId="171" fontId="4" fillId="3" borderId="0" xfId="9" quotePrefix="1" applyNumberFormat="1" applyFont="1" applyFill="1" applyAlignment="1">
      <alignment horizontal="right"/>
    </xf>
    <xf numFmtId="164" fontId="3" fillId="3" borderId="0" xfId="0" applyFont="1" applyFill="1"/>
    <xf numFmtId="2" fontId="4" fillId="4" borderId="0" xfId="0" quotePrefix="1" applyNumberFormat="1" applyFont="1" applyFill="1" applyAlignment="1">
      <alignment horizontal="right"/>
    </xf>
    <xf numFmtId="2" fontId="41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>
      <alignment horizontal="righ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164" fontId="10" fillId="4" borderId="22" xfId="0" applyFont="1" applyFill="1" applyBorder="1" applyAlignment="1">
      <alignment horizontal="center"/>
    </xf>
    <xf numFmtId="164" fontId="4" fillId="4" borderId="22" xfId="0" applyFont="1" applyFill="1" applyBorder="1" applyAlignment="1">
      <alignment horizontal="left"/>
    </xf>
    <xf numFmtId="164" fontId="4" fillId="4" borderId="22" xfId="0" quotePrefix="1" applyFont="1" applyFill="1" applyBorder="1" applyAlignment="1">
      <alignment horizontal="left"/>
    </xf>
    <xf numFmtId="164" fontId="4" fillId="4" borderId="30" xfId="0" applyFont="1" applyFill="1" applyBorder="1" applyAlignment="1">
      <alignment horizontal="left"/>
    </xf>
    <xf numFmtId="2" fontId="4" fillId="3" borderId="34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right"/>
    </xf>
    <xf numFmtId="2" fontId="4" fillId="3" borderId="35" xfId="0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right"/>
    </xf>
    <xf numFmtId="164" fontId="4" fillId="0" borderId="0" xfId="0" applyFont="1" applyAlignment="1">
      <alignment horizontal="center"/>
    </xf>
    <xf numFmtId="166" fontId="4" fillId="3" borderId="22" xfId="1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7" fontId="4" fillId="3" borderId="22" xfId="0" applyNumberFormat="1" applyFont="1" applyFill="1" applyBorder="1" applyAlignment="1">
      <alignment horizontal="right"/>
    </xf>
    <xf numFmtId="164" fontId="4" fillId="3" borderId="22" xfId="0" applyFont="1" applyFill="1" applyBorder="1" applyAlignment="1">
      <alignment horizontal="right"/>
    </xf>
    <xf numFmtId="2" fontId="4" fillId="3" borderId="22" xfId="0" quotePrefix="1" applyNumberFormat="1" applyFont="1" applyFill="1" applyBorder="1" applyAlignment="1">
      <alignment horizontal="center"/>
    </xf>
    <xf numFmtId="2" fontId="4" fillId="3" borderId="0" xfId="0" quotePrefix="1" applyNumberFormat="1" applyFont="1" applyFill="1" applyAlignment="1">
      <alignment horizontal="center"/>
    </xf>
    <xf numFmtId="2" fontId="4" fillId="3" borderId="22" xfId="0" quotePrefix="1" applyNumberFormat="1" applyFont="1" applyFill="1" applyBorder="1" applyAlignment="1">
      <alignment horizontal="right"/>
    </xf>
    <xf numFmtId="2" fontId="4" fillId="3" borderId="30" xfId="0" applyNumberFormat="1" applyFont="1" applyFill="1" applyBorder="1" applyAlignment="1">
      <alignment horizontal="right"/>
    </xf>
    <xf numFmtId="164" fontId="0" fillId="2" borderId="0" xfId="0" applyFill="1"/>
    <xf numFmtId="2" fontId="4" fillId="4" borderId="0" xfId="0" applyNumberFormat="1" applyFont="1" applyFill="1" applyAlignment="1">
      <alignment horizontal="right"/>
    </xf>
    <xf numFmtId="1" fontId="6" fillId="36" borderId="17" xfId="10" applyNumberFormat="1" applyFont="1" applyFill="1" applyBorder="1" applyAlignment="1" applyProtection="1">
      <alignment horizontal="left"/>
    </xf>
    <xf numFmtId="1" fontId="6" fillId="36" borderId="4" xfId="10" applyNumberFormat="1" applyFont="1" applyFill="1" applyBorder="1" applyAlignment="1" applyProtection="1">
      <alignment horizontal="left"/>
    </xf>
    <xf numFmtId="166" fontId="6" fillId="36" borderId="4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7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" fontId="6" fillId="36" borderId="38" xfId="10" applyNumberFormat="1" applyFont="1" applyFill="1" applyBorder="1" applyAlignment="1" applyProtection="1">
      <alignment horizontal="left"/>
    </xf>
    <xf numFmtId="1" fontId="6" fillId="36" borderId="39" xfId="10" applyNumberFormat="1" applyFont="1" applyFill="1" applyBorder="1" applyAlignment="1" applyProtection="1">
      <alignment horizontal="center"/>
    </xf>
    <xf numFmtId="1" fontId="6" fillId="36" borderId="40" xfId="10" applyNumberFormat="1" applyFont="1" applyFill="1" applyBorder="1" applyAlignment="1" applyProtection="1">
      <alignment horizontal="left"/>
    </xf>
    <xf numFmtId="172" fontId="4" fillId="0" borderId="3" xfId="12" applyFont="1" applyBorder="1"/>
    <xf numFmtId="172" fontId="4" fillId="0" borderId="0" xfId="12" quotePrefix="1" applyFont="1" applyAlignment="1">
      <alignment horizontal="left"/>
    </xf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" fontId="6" fillId="36" borderId="40" xfId="10" quotePrefix="1" applyNumberFormat="1" applyFont="1" applyFill="1" applyBorder="1" applyAlignment="1" applyProtection="1">
      <alignment horizontal="left"/>
    </xf>
    <xf numFmtId="166" fontId="6" fillId="0" borderId="3" xfId="1" quotePrefix="1" applyNumberFormat="1" applyFont="1" applyFill="1" applyBorder="1" applyAlignment="1" applyProtection="1">
      <alignment horizontal="right"/>
    </xf>
    <xf numFmtId="1" fontId="6" fillId="36" borderId="4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39" xfId="1" applyNumberFormat="1" applyFont="1" applyFill="1" applyBorder="1" applyAlignment="1" applyProtection="1">
      <alignment horizontal="center"/>
    </xf>
    <xf numFmtId="37" fontId="4" fillId="4" borderId="42" xfId="9" quotePrefix="1" applyFont="1" applyFill="1" applyBorder="1"/>
    <xf numFmtId="37" fontId="4" fillId="4" borderId="5" xfId="9" quotePrefix="1" applyFont="1" applyFill="1" applyBorder="1"/>
    <xf numFmtId="170" fontId="4" fillId="4" borderId="5" xfId="9" quotePrefix="1" applyNumberFormat="1" applyFont="1" applyFill="1" applyBorder="1"/>
    <xf numFmtId="167" fontId="4" fillId="4" borderId="5" xfId="9" applyNumberFormat="1" applyFont="1" applyFill="1" applyBorder="1"/>
    <xf numFmtId="167" fontId="4" fillId="4" borderId="43" xfId="9" applyNumberFormat="1" applyFont="1" applyFill="1" applyBorder="1"/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167" fontId="4" fillId="4" borderId="3" xfId="9" applyNumberFormat="1" applyFont="1" applyFill="1" applyBorder="1"/>
    <xf numFmtId="37" fontId="4" fillId="4" borderId="7" xfId="9" applyFont="1" applyFill="1" applyBorder="1" applyAlignment="1">
      <alignment horizontal="center"/>
    </xf>
    <xf numFmtId="170" fontId="4" fillId="4" borderId="0" xfId="9" quotePrefix="1" applyNumberFormat="1" applyFont="1" applyFill="1" applyAlignment="1">
      <alignment horizontal="center"/>
    </xf>
    <xf numFmtId="167" fontId="4" fillId="4" borderId="39" xfId="9" applyNumberFormat="1" applyFont="1" applyFill="1" applyBorder="1" applyAlignment="1">
      <alignment horizontal="right"/>
    </xf>
    <xf numFmtId="167" fontId="4" fillId="4" borderId="43" xfId="9" applyNumberFormat="1" applyFont="1" applyFill="1" applyBorder="1" applyAlignment="1">
      <alignment horizontal="right"/>
    </xf>
    <xf numFmtId="37" fontId="4" fillId="4" borderId="32" xfId="9" applyFont="1" applyFill="1" applyBorder="1" applyAlignment="1">
      <alignment horizontal="center"/>
    </xf>
    <xf numFmtId="167" fontId="4" fillId="4" borderId="33" xfId="9" applyNumberFormat="1" applyFont="1" applyFill="1" applyBorder="1" applyAlignment="1">
      <alignment horizontal="center"/>
    </xf>
    <xf numFmtId="37" fontId="42" fillId="37" borderId="40" xfId="9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37" fontId="4" fillId="4" borderId="40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167" fontId="4" fillId="0" borderId="3" xfId="9" applyNumberFormat="1" applyFont="1" applyBorder="1"/>
    <xf numFmtId="37" fontId="4" fillId="4" borderId="40" xfId="9" applyFont="1" applyFill="1" applyBorder="1"/>
    <xf numFmtId="37" fontId="10" fillId="4" borderId="40" xfId="9" applyFont="1" applyFill="1" applyBorder="1" applyAlignment="1">
      <alignment horizontal="left"/>
    </xf>
    <xf numFmtId="167" fontId="4" fillId="0" borderId="3" xfId="9" quotePrefix="1" applyNumberFormat="1" applyFont="1" applyBorder="1" applyAlignment="1">
      <alignment horizontal="right"/>
    </xf>
    <xf numFmtId="167" fontId="4" fillId="4" borderId="40" xfId="9" applyNumberFormat="1" applyFont="1" applyFill="1" applyBorder="1" applyAlignment="1">
      <alignment horizontal="left"/>
    </xf>
    <xf numFmtId="37" fontId="10" fillId="4" borderId="41" xfId="9" applyFont="1" applyFill="1" applyBorder="1" applyAlignment="1">
      <alignment horizontal="left"/>
    </xf>
    <xf numFmtId="167" fontId="4" fillId="0" borderId="39" xfId="9" applyNumberFormat="1" applyFont="1" applyBorder="1"/>
    <xf numFmtId="37" fontId="43" fillId="37" borderId="17" xfId="9" applyFont="1" applyFill="1" applyBorder="1" applyAlignment="1">
      <alignment horizontal="center"/>
    </xf>
    <xf numFmtId="167" fontId="4" fillId="0" borderId="2" xfId="9" applyNumberFormat="1" applyFont="1" applyBorder="1" applyAlignment="1">
      <alignment horizontal="fill"/>
    </xf>
    <xf numFmtId="37" fontId="4" fillId="4" borderId="7" xfId="9" applyFont="1" applyFill="1" applyBorder="1" applyAlignment="1">
      <alignment horizontal="left"/>
    </xf>
    <xf numFmtId="167" fontId="4" fillId="0" borderId="3" xfId="9" applyNumberFormat="1" applyFont="1" applyBorder="1" applyAlignment="1">
      <alignment horizontal="fill"/>
    </xf>
    <xf numFmtId="167" fontId="4" fillId="3" borderId="3" xfId="9" applyNumberFormat="1" applyFont="1" applyFill="1" applyBorder="1"/>
    <xf numFmtId="37" fontId="10" fillId="4" borderId="7" xfId="9" applyFont="1" applyFill="1" applyBorder="1" applyAlignment="1">
      <alignment horizontal="left"/>
    </xf>
    <xf numFmtId="37" fontId="10" fillId="4" borderId="38" xfId="9" applyFont="1" applyFill="1" applyBorder="1" applyAlignment="1">
      <alignment horizontal="left"/>
    </xf>
    <xf numFmtId="167" fontId="4" fillId="0" borderId="39" xfId="9" applyNumberFormat="1" applyFont="1" applyBorder="1" applyAlignment="1">
      <alignment horizontal="fill"/>
    </xf>
    <xf numFmtId="37" fontId="43" fillId="37" borderId="7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7" fontId="4" fillId="4" borderId="0" xfId="3" quotePrefix="1" applyNumberFormat="1" applyFont="1" applyFill="1" applyAlignment="1">
      <alignment horizontal="center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0" fontId="4" fillId="4" borderId="42" xfId="3" quotePrefix="1" applyFont="1" applyFill="1" applyBorder="1" applyAlignment="1">
      <alignment horizontal="left"/>
    </xf>
    <xf numFmtId="167" fontId="4" fillId="4" borderId="5" xfId="3" applyNumberFormat="1" applyFont="1" applyFill="1" applyBorder="1"/>
    <xf numFmtId="167" fontId="4" fillId="4" borderId="5" xfId="3" applyNumberFormat="1" applyFont="1" applyFill="1" applyBorder="1" applyAlignment="1">
      <alignment horizontal="center"/>
    </xf>
    <xf numFmtId="0" fontId="4" fillId="4" borderId="7" xfId="3" applyFont="1" applyFill="1" applyBorder="1" applyAlignment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4" borderId="3" xfId="3" quotePrefix="1" applyNumberFormat="1" applyFont="1" applyFill="1" applyBorder="1" applyAlignment="1">
      <alignment horizontal="center"/>
    </xf>
    <xf numFmtId="0" fontId="4" fillId="4" borderId="32" xfId="3" applyFont="1" applyFill="1" applyBorder="1"/>
    <xf numFmtId="167" fontId="4" fillId="0" borderId="3" xfId="3" applyNumberFormat="1" applyFont="1" applyBorder="1"/>
    <xf numFmtId="0" fontId="4" fillId="4" borderId="40" xfId="3" applyFont="1" applyFill="1" applyBorder="1" applyAlignment="1">
      <alignment horizontal="left"/>
    </xf>
    <xf numFmtId="167" fontId="4" fillId="3" borderId="0" xfId="3" applyNumberFormat="1" applyFont="1" applyFill="1" applyAlignment="1">
      <alignment horizontal="center"/>
    </xf>
    <xf numFmtId="0" fontId="4" fillId="4" borderId="40" xfId="3" applyFont="1" applyFill="1" applyBorder="1"/>
    <xf numFmtId="165" fontId="4" fillId="0" borderId="3" xfId="3" quotePrefix="1" applyNumberFormat="1" applyFont="1" applyBorder="1" applyAlignment="1">
      <alignment horizontal="right"/>
    </xf>
    <xf numFmtId="167" fontId="4" fillId="0" borderId="3" xfId="3" quotePrefix="1" applyNumberFormat="1" applyFont="1" applyBorder="1" applyAlignment="1">
      <alignment horizontal="right"/>
    </xf>
    <xf numFmtId="0" fontId="4" fillId="0" borderId="0" xfId="3" applyFont="1" applyAlignment="1">
      <alignment horizontal="center"/>
    </xf>
    <xf numFmtId="167" fontId="4" fillId="3" borderId="3" xfId="3" applyNumberFormat="1" applyFont="1" applyFill="1" applyBorder="1"/>
    <xf numFmtId="0" fontId="4" fillId="4" borderId="40" xfId="3" quotePrefix="1" applyFont="1" applyFill="1" applyBorder="1" applyAlignment="1">
      <alignment horizontal="left"/>
    </xf>
    <xf numFmtId="164" fontId="4" fillId="0" borderId="3" xfId="3" applyNumberFormat="1" applyFont="1" applyBorder="1"/>
    <xf numFmtId="167" fontId="4" fillId="0" borderId="0" xfId="3" quotePrefix="1" applyNumberFormat="1" applyFont="1" applyAlignment="1">
      <alignment horizontal="center"/>
    </xf>
    <xf numFmtId="2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 applyAlignment="1">
      <alignment horizontal="right"/>
    </xf>
    <xf numFmtId="167" fontId="4" fillId="0" borderId="3" xfId="3" applyNumberFormat="1" applyFont="1" applyBorder="1" applyAlignment="1">
      <alignment horizontal="right"/>
    </xf>
    <xf numFmtId="165" fontId="4" fillId="0" borderId="3" xfId="3" applyNumberFormat="1" applyFont="1" applyBorder="1"/>
    <xf numFmtId="167" fontId="4" fillId="3" borderId="3" xfId="3" applyNumberFormat="1" applyFont="1" applyFill="1" applyBorder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/>
    <xf numFmtId="0" fontId="4" fillId="4" borderId="41" xfId="3" quotePrefix="1" applyFont="1" applyFill="1" applyBorder="1" applyAlignment="1">
      <alignment horizontal="left"/>
    </xf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167" fontId="4" fillId="3" borderId="39" xfId="3" quotePrefix="1" applyNumberFormat="1" applyFont="1" applyFill="1" applyBorder="1" applyAlignment="1">
      <alignment horizontal="right"/>
    </xf>
    <xf numFmtId="167" fontId="4" fillId="4" borderId="43" xfId="3" applyNumberFormat="1" applyFont="1" applyFill="1" applyBorder="1"/>
    <xf numFmtId="9" fontId="4" fillId="0" borderId="0" xfId="9" applyNumberFormat="1" applyFont="1"/>
    <xf numFmtId="9" fontId="4" fillId="0" borderId="24" xfId="9" quotePrefix="1" applyNumberFormat="1" applyFont="1" applyBorder="1" applyAlignment="1">
      <alignment horizontal="right" wrapText="1"/>
    </xf>
    <xf numFmtId="167" fontId="4" fillId="0" borderId="3" xfId="1" applyNumberFormat="1" applyFont="1" applyBorder="1"/>
    <xf numFmtId="167" fontId="4" fillId="0" borderId="39" xfId="1" applyNumberFormat="1" applyFont="1" applyBorder="1" applyAlignment="1">
      <alignment horizontal="right"/>
    </xf>
    <xf numFmtId="176" fontId="4" fillId="4" borderId="20" xfId="1" applyNumberFormat="1" applyFont="1" applyFill="1" applyBorder="1"/>
    <xf numFmtId="176" fontId="4" fillId="4" borderId="0" xfId="1" applyNumberFormat="1" applyFont="1" applyFill="1" applyAlignment="1">
      <alignment horizontal="center"/>
    </xf>
    <xf numFmtId="176" fontId="4" fillId="4" borderId="0" xfId="1" quotePrefix="1" applyNumberFormat="1" applyFont="1" applyFill="1" applyAlignment="1">
      <alignment horizontal="center"/>
    </xf>
    <xf numFmtId="176" fontId="4" fillId="4" borderId="1" xfId="1" quotePrefix="1" applyNumberFormat="1" applyFont="1" applyFill="1" applyBorder="1" applyAlignment="1">
      <alignment horizontal="center"/>
    </xf>
    <xf numFmtId="176" fontId="4" fillId="0" borderId="4" xfId="1" applyNumberFormat="1" applyFont="1" applyBorder="1" applyAlignment="1">
      <alignment horizontal="center"/>
    </xf>
    <xf numFmtId="176" fontId="3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/>
    <xf numFmtId="164" fontId="4" fillId="3" borderId="0" xfId="0" applyFont="1" applyFill="1" applyAlignment="1">
      <alignment horizontal="center"/>
    </xf>
    <xf numFmtId="176" fontId="3" fillId="0" borderId="0" xfId="1" applyNumberFormat="1" applyFont="1" applyFill="1" applyBorder="1"/>
    <xf numFmtId="176" fontId="3" fillId="0" borderId="0" xfId="1" applyNumberFormat="1" applyFont="1" applyFill="1" applyBorder="1" applyAlignment="1">
      <alignment horizontal="right"/>
    </xf>
    <xf numFmtId="4" fontId="4" fillId="0" borderId="0" xfId="9" applyNumberFormat="1" applyFont="1"/>
    <xf numFmtId="4" fontId="18" fillId="0" borderId="0" xfId="9" quotePrefix="1" applyNumberFormat="1" applyFont="1" applyAlignment="1">
      <alignment horizontal="right"/>
    </xf>
    <xf numFmtId="4" fontId="18" fillId="0" borderId="0" xfId="9" applyNumberFormat="1" applyFont="1" applyAlignment="1">
      <alignment horizontal="left"/>
    </xf>
    <xf numFmtId="4" fontId="18" fillId="0" borderId="0" xfId="9" applyNumberFormat="1" applyFont="1" applyAlignment="1">
      <alignment horizontal="right"/>
    </xf>
    <xf numFmtId="4" fontId="18" fillId="0" borderId="0" xfId="9" applyNumberFormat="1" applyFont="1"/>
    <xf numFmtId="4" fontId="19" fillId="0" borderId="0" xfId="9" quotePrefix="1" applyNumberFormat="1" applyFont="1" applyAlignment="1">
      <alignment horizontal="left"/>
    </xf>
    <xf numFmtId="4" fontId="19" fillId="0" borderId="0" xfId="9" quotePrefix="1" applyNumberFormat="1" applyFont="1" applyAlignment="1">
      <alignment horizontal="right"/>
    </xf>
    <xf numFmtId="171" fontId="4" fillId="0" borderId="0" xfId="9" applyNumberFormat="1" applyFont="1" applyAlignment="1">
      <alignment horizontal="right"/>
    </xf>
    <xf numFmtId="171" fontId="4" fillId="3" borderId="0" xfId="9" applyNumberFormat="1" applyFont="1" applyFill="1" applyAlignment="1">
      <alignment horizontal="right"/>
    </xf>
    <xf numFmtId="171" fontId="4" fillId="0" borderId="0" xfId="9" applyNumberFormat="1" applyFont="1"/>
    <xf numFmtId="171" fontId="4" fillId="0" borderId="1" xfId="9" applyNumberFormat="1" applyFont="1" applyBorder="1" applyAlignment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71" fontId="4" fillId="0" borderId="1" xfId="1" applyNumberFormat="1" applyFont="1" applyBorder="1" applyAlignment="1">
      <alignment horizontal="right"/>
    </xf>
    <xf numFmtId="171" fontId="4" fillId="0" borderId="4" xfId="9" applyNumberFormat="1" applyFont="1" applyBorder="1" applyAlignment="1">
      <alignment horizontal="right"/>
    </xf>
    <xf numFmtId="171" fontId="21" fillId="0" borderId="0" xfId="0" applyNumberFormat="1" applyFont="1"/>
    <xf numFmtId="171" fontId="4" fillId="0" borderId="0" xfId="1" applyNumberFormat="1" applyFont="1" applyBorder="1" applyAlignment="1">
      <alignment horizontal="right"/>
    </xf>
    <xf numFmtId="171" fontId="4" fillId="0" borderId="0" xfId="11" applyNumberFormat="1" applyFont="1" applyAlignment="1">
      <alignment horizontal="right"/>
    </xf>
    <xf numFmtId="171" fontId="4" fillId="0" borderId="0" xfId="11" applyNumberFormat="1" applyFont="1" applyAlignment="1">
      <alignment horizontal="center"/>
    </xf>
    <xf numFmtId="171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Border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center"/>
      <protection locked="0"/>
    </xf>
    <xf numFmtId="171" fontId="4" fillId="0" borderId="0" xfId="1" applyNumberFormat="1" applyFont="1" applyFill="1" applyBorder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</xf>
    <xf numFmtId="171" fontId="4" fillId="0" borderId="0" xfId="1" applyNumberFormat="1" applyFont="1" applyBorder="1" applyAlignment="1" applyProtection="1">
      <alignment horizontal="right" vertical="center"/>
    </xf>
    <xf numFmtId="171" fontId="4" fillId="0" borderId="0" xfId="10" applyNumberFormat="1" applyFont="1" applyBorder="1" applyAlignment="1" applyProtection="1">
      <alignment horizontal="right" vertical="center"/>
    </xf>
    <xf numFmtId="171" fontId="4" fillId="0" borderId="0" xfId="10" applyNumberFormat="1" applyFont="1" applyBorder="1" applyAlignment="1" applyProtection="1">
      <alignment horizontal="center" vertical="center"/>
    </xf>
    <xf numFmtId="171" fontId="4" fillId="0" borderId="0" xfId="1" applyNumberFormat="1" applyFont="1" applyBorder="1" applyAlignment="1">
      <alignment horizontal="right" vertical="center"/>
    </xf>
    <xf numFmtId="171" fontId="4" fillId="0" borderId="0" xfId="9" applyNumberFormat="1" applyFont="1" applyAlignment="1">
      <alignment horizontal="right" vertical="center"/>
    </xf>
    <xf numFmtId="171" fontId="4" fillId="0" borderId="0" xfId="9" applyNumberFormat="1" applyFont="1" applyAlignment="1">
      <alignment horizontal="center" vertical="center"/>
    </xf>
    <xf numFmtId="171" fontId="4" fillId="0" borderId="0" xfId="1" applyNumberFormat="1" applyFont="1" applyFill="1" applyBorder="1" applyAlignment="1" applyProtection="1">
      <alignment horizontal="center"/>
    </xf>
    <xf numFmtId="171" fontId="4" fillId="0" borderId="0" xfId="1" applyNumberFormat="1" applyFont="1" applyBorder="1" applyAlignment="1" applyProtection="1">
      <alignment horizontal="right" vertical="center"/>
      <protection locked="0"/>
    </xf>
    <xf numFmtId="171" fontId="3" fillId="0" borderId="0" xfId="1" applyNumberFormat="1" applyFont="1" applyFill="1" applyBorder="1" applyAlignment="1" applyProtection="1">
      <alignment horizontal="right" vertical="center"/>
    </xf>
    <xf numFmtId="171" fontId="4" fillId="0" borderId="0" xfId="1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center" vertical="center"/>
    </xf>
    <xf numFmtId="171" fontId="4" fillId="0" borderId="0" xfId="9" applyNumberFormat="1" applyFont="1" applyAlignment="1">
      <alignment horizontal="center"/>
    </xf>
    <xf numFmtId="171" fontId="4" fillId="0" borderId="6" xfId="1" applyNumberFormat="1" applyFont="1" applyFill="1" applyBorder="1" applyAlignment="1">
      <alignment horizontal="right"/>
    </xf>
    <xf numFmtId="171" fontId="4" fillId="0" borderId="6" xfId="1" applyNumberFormat="1" applyFont="1" applyFill="1" applyBorder="1" applyAlignment="1"/>
    <xf numFmtId="171" fontId="4" fillId="0" borderId="6" xfId="1" applyNumberFormat="1" applyFont="1" applyBorder="1" applyAlignment="1" applyProtection="1">
      <alignment horizontal="right"/>
      <protection locked="0"/>
    </xf>
    <xf numFmtId="171" fontId="4" fillId="4" borderId="20" xfId="9" applyNumberFormat="1" applyFont="1" applyFill="1" applyBorder="1"/>
    <xf numFmtId="171" fontId="4" fillId="4" borderId="0" xfId="9" applyNumberFormat="1" applyFont="1" applyFill="1"/>
    <xf numFmtId="171" fontId="4" fillId="4" borderId="0" xfId="9" quotePrefix="1" applyNumberFormat="1" applyFont="1" applyFill="1" applyAlignment="1">
      <alignment horizontal="left"/>
    </xf>
    <xf numFmtId="171" fontId="4" fillId="4" borderId="17" xfId="9" applyNumberFormat="1" applyFont="1" applyFill="1" applyBorder="1" applyAlignment="1">
      <alignment horizontal="left"/>
    </xf>
    <xf numFmtId="171" fontId="3" fillId="4" borderId="7" xfId="5" quotePrefix="1" applyNumberFormat="1" applyFont="1" applyFill="1" applyBorder="1"/>
    <xf numFmtId="171" fontId="4" fillId="4" borderId="7" xfId="9" applyNumberFormat="1" applyFont="1" applyFill="1" applyBorder="1"/>
    <xf numFmtId="171" fontId="4" fillId="0" borderId="0" xfId="9" applyNumberFormat="1" applyFont="1" applyAlignment="1">
      <alignment horizontal="left"/>
    </xf>
    <xf numFmtId="171" fontId="4" fillId="4" borderId="7" xfId="11" applyNumberFormat="1" applyFont="1" applyFill="1" applyBorder="1" applyAlignment="1">
      <alignment horizontal="right"/>
    </xf>
    <xf numFmtId="171" fontId="4" fillId="4" borderId="32" xfId="11" applyNumberFormat="1" applyFont="1" applyFill="1" applyBorder="1" applyAlignment="1">
      <alignment horizontal="right"/>
    </xf>
    <xf numFmtId="171" fontId="4" fillId="4" borderId="35" xfId="9" applyNumberFormat="1" applyFont="1" applyFill="1" applyBorder="1"/>
    <xf numFmtId="171" fontId="4" fillId="4" borderId="24" xfId="9" applyNumberFormat="1" applyFont="1" applyFill="1" applyBorder="1"/>
    <xf numFmtId="171" fontId="4" fillId="4" borderId="24" xfId="9" quotePrefix="1" applyNumberFormat="1" applyFont="1" applyFill="1" applyBorder="1" applyAlignment="1">
      <alignment horizontal="center"/>
    </xf>
    <xf numFmtId="171" fontId="4" fillId="4" borderId="36" xfId="9" applyNumberFormat="1" applyFont="1" applyFill="1" applyBorder="1" applyAlignment="1">
      <alignment horizontal="left"/>
    </xf>
    <xf numFmtId="171" fontId="3" fillId="4" borderId="24" xfId="5" applyNumberFormat="1" applyFont="1" applyFill="1" applyBorder="1"/>
    <xf numFmtId="171" fontId="4" fillId="4" borderId="24" xfId="11" applyNumberFormat="1" applyFont="1" applyFill="1" applyBorder="1" applyAlignment="1">
      <alignment horizontal="right"/>
    </xf>
    <xf numFmtId="171" fontId="4" fillId="4" borderId="24" xfId="11" quotePrefix="1" applyNumberFormat="1" applyFont="1" applyFill="1" applyBorder="1" applyAlignment="1">
      <alignment horizontal="right"/>
    </xf>
    <xf numFmtId="171" fontId="4" fillId="4" borderId="29" xfId="11" applyNumberFormat="1" applyFont="1" applyFill="1" applyBorder="1" applyAlignment="1">
      <alignment horizontal="right"/>
    </xf>
    <xf numFmtId="3" fontId="4" fillId="4" borderId="19" xfId="1" applyNumberFormat="1" applyFont="1" applyFill="1" applyBorder="1"/>
    <xf numFmtId="3" fontId="4" fillId="4" borderId="1" xfId="1" quotePrefix="1" applyNumberFormat="1" applyFont="1" applyFill="1" applyBorder="1" applyAlignment="1">
      <alignment horizontal="center"/>
    </xf>
    <xf numFmtId="3" fontId="4" fillId="4" borderId="0" xfId="1" applyNumberFormat="1" applyFont="1" applyFill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0" borderId="0" xfId="1" quotePrefix="1" applyNumberFormat="1" applyFont="1"/>
    <xf numFmtId="3" fontId="4" fillId="0" borderId="0" xfId="1" applyNumberFormat="1" applyFont="1"/>
    <xf numFmtId="3" fontId="21" fillId="3" borderId="0" xfId="1" quotePrefix="1" applyNumberFormat="1" applyFont="1" applyFill="1" applyAlignment="1">
      <alignment horizontal="right" wrapText="1"/>
    </xf>
    <xf numFmtId="3" fontId="21" fillId="3" borderId="0" xfId="1" applyNumberFormat="1" applyFont="1" applyFill="1" applyAlignment="1">
      <alignment horizontal="right" wrapText="1"/>
    </xf>
    <xf numFmtId="3" fontId="4" fillId="3" borderId="0" xfId="1" quotePrefix="1" applyNumberFormat="1" applyFont="1" applyFill="1" applyAlignment="1">
      <alignment horizontal="right" wrapText="1"/>
    </xf>
    <xf numFmtId="3" fontId="4" fillId="3" borderId="0" xfId="1" applyNumberFormat="1" applyFont="1" applyFill="1"/>
    <xf numFmtId="3" fontId="4" fillId="3" borderId="0" xfId="1" quotePrefix="1" applyNumberFormat="1" applyFont="1" applyFill="1" applyBorder="1" applyAlignment="1">
      <alignment horizontal="right" wrapText="1"/>
    </xf>
    <xf numFmtId="3" fontId="4" fillId="0" borderId="6" xfId="1" applyNumberFormat="1" applyFont="1" applyBorder="1"/>
    <xf numFmtId="3" fontId="15" fillId="0" borderId="0" xfId="1" applyNumberFormat="1" applyFont="1"/>
    <xf numFmtId="3" fontId="4" fillId="4" borderId="19" xfId="9" applyNumberFormat="1" applyFont="1" applyFill="1" applyBorder="1"/>
    <xf numFmtId="3" fontId="4" fillId="4" borderId="21" xfId="9" applyNumberFormat="1" applyFont="1" applyFill="1" applyBorder="1"/>
    <xf numFmtId="3" fontId="4" fillId="4" borderId="0" xfId="9" applyNumberFormat="1" applyFont="1" applyFill="1"/>
    <xf numFmtId="3" fontId="4" fillId="4" borderId="0" xfId="1" applyNumberFormat="1" applyFont="1" applyFill="1" applyBorder="1" applyAlignment="1">
      <alignment horizontal="center"/>
    </xf>
    <xf numFmtId="3" fontId="4" fillId="4" borderId="1" xfId="1" applyNumberFormat="1" applyFont="1" applyFill="1" applyBorder="1"/>
    <xf numFmtId="3" fontId="4" fillId="4" borderId="1" xfId="9" quotePrefix="1" applyNumberFormat="1" applyFont="1" applyFill="1" applyBorder="1" applyAlignment="1">
      <alignment horizontal="center"/>
    </xf>
    <xf numFmtId="3" fontId="4" fillId="4" borderId="1" xfId="9" applyNumberFormat="1" applyFont="1" applyFill="1" applyBorder="1" applyAlignment="1">
      <alignment horizontal="center"/>
    </xf>
    <xf numFmtId="3" fontId="4" fillId="4" borderId="23" xfId="9" applyNumberFormat="1" applyFont="1" applyFill="1" applyBorder="1" applyAlignment="1">
      <alignment horizontal="center"/>
    </xf>
    <xf numFmtId="3" fontId="4" fillId="4" borderId="0" xfId="9" applyNumberFormat="1" applyFont="1" applyFill="1" applyAlignment="1">
      <alignment horizontal="center"/>
    </xf>
    <xf numFmtId="3" fontId="4" fillId="4" borderId="0" xfId="1" applyNumberFormat="1" applyFont="1" applyFill="1" applyBorder="1" applyAlignment="1">
      <alignment horizontal="right"/>
    </xf>
    <xf numFmtId="3" fontId="4" fillId="4" borderId="0" xfId="9" applyNumberFormat="1" applyFont="1" applyFill="1" applyAlignment="1">
      <alignment horizontal="right"/>
    </xf>
    <xf numFmtId="3" fontId="4" fillId="4" borderId="24" xfId="9" applyNumberFormat="1" applyFont="1" applyFill="1" applyBorder="1" applyAlignment="1">
      <alignment horizontal="right"/>
    </xf>
    <xf numFmtId="3" fontId="4" fillId="3" borderId="20" xfId="1" quotePrefix="1" applyNumberFormat="1" applyFont="1" applyFill="1" applyBorder="1" applyAlignment="1">
      <alignment horizontal="center"/>
    </xf>
    <xf numFmtId="3" fontId="4" fillId="0" borderId="20" xfId="9" quotePrefix="1" applyNumberFormat="1" applyFont="1" applyBorder="1"/>
    <xf numFmtId="3" fontId="4" fillId="3" borderId="0" xfId="1" applyNumberFormat="1" applyFont="1" applyFill="1" applyBorder="1"/>
    <xf numFmtId="3" fontId="21" fillId="3" borderId="0" xfId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Alignment="1">
      <alignment horizontal="right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21" fillId="3" borderId="0" xfId="1" quotePrefix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 applyProtection="1">
      <alignment horizontal="right" wrapText="1"/>
    </xf>
    <xf numFmtId="3" fontId="4" fillId="3" borderId="0" xfId="1" applyNumberFormat="1" applyFont="1" applyFill="1" applyBorder="1" applyAlignment="1">
      <alignment wrapText="1"/>
    </xf>
    <xf numFmtId="3" fontId="4" fillId="0" borderId="6" xfId="1" applyNumberFormat="1" applyFont="1" applyBorder="1" applyAlignment="1"/>
    <xf numFmtId="3" fontId="4" fillId="0" borderId="6" xfId="1" quotePrefix="1" applyNumberFormat="1" applyFont="1" applyBorder="1" applyAlignment="1"/>
    <xf numFmtId="3" fontId="4" fillId="3" borderId="6" xfId="1" quotePrefix="1" applyNumberFormat="1" applyFont="1" applyFill="1" applyBorder="1" applyAlignment="1">
      <alignment horizontal="right" wrapText="1"/>
    </xf>
    <xf numFmtId="3" fontId="21" fillId="3" borderId="6" xfId="9" quotePrefix="1" applyNumberFormat="1" applyFont="1" applyFill="1" applyBorder="1" applyAlignment="1">
      <alignment horizontal="right" wrapText="1"/>
    </xf>
    <xf numFmtId="3" fontId="4" fillId="0" borderId="0" xfId="1" applyNumberFormat="1" applyFont="1" applyBorder="1"/>
    <xf numFmtId="3" fontId="5" fillId="3" borderId="0" xfId="1" quotePrefix="1" applyNumberFormat="1" applyFont="1" applyFill="1" applyBorder="1" applyAlignment="1">
      <alignment horizontal="left"/>
    </xf>
    <xf numFmtId="3" fontId="4" fillId="3" borderId="0" xfId="1" applyNumberFormat="1" applyFont="1" applyFill="1" applyBorder="1" applyProtection="1"/>
    <xf numFmtId="3" fontId="4" fillId="4" borderId="20" xfId="9" applyNumberFormat="1" applyFont="1" applyFill="1" applyBorder="1"/>
    <xf numFmtId="3" fontId="4" fillId="4" borderId="0" xfId="1" quotePrefix="1" applyNumberFormat="1" applyFont="1" applyFill="1" applyAlignment="1">
      <alignment horizontal="center"/>
    </xf>
    <xf numFmtId="3" fontId="4" fillId="4" borderId="4" xfId="9" applyNumberFormat="1" applyFont="1" applyFill="1" applyBorder="1"/>
    <xf numFmtId="3" fontId="4" fillId="4" borderId="5" xfId="9" applyNumberFormat="1" applyFont="1" applyFill="1" applyBorder="1"/>
    <xf numFmtId="3" fontId="4" fillId="4" borderId="4" xfId="9" applyNumberFormat="1" applyFont="1" applyFill="1" applyBorder="1" applyAlignment="1">
      <alignment horizontal="center"/>
    </xf>
    <xf numFmtId="3" fontId="4" fillId="4" borderId="5" xfId="1" applyNumberFormat="1" applyFont="1" applyFill="1" applyBorder="1"/>
    <xf numFmtId="3" fontId="4" fillId="4" borderId="0" xfId="9" quotePrefix="1" applyNumberFormat="1" applyFont="1" applyFill="1" applyAlignment="1">
      <alignment horizontal="right"/>
    </xf>
    <xf numFmtId="3" fontId="21" fillId="4" borderId="0" xfId="9" applyNumberFormat="1" applyFont="1" applyFill="1" applyAlignment="1">
      <alignment horizontal="right"/>
    </xf>
    <xf numFmtId="3" fontId="4" fillId="4" borderId="0" xfId="1" quotePrefix="1" applyNumberFormat="1" applyFont="1" applyFill="1" applyAlignment="1">
      <alignment horizontal="right"/>
    </xf>
    <xf numFmtId="3" fontId="4" fillId="4" borderId="1" xfId="9" applyNumberFormat="1" applyFont="1" applyFill="1" applyBorder="1" applyAlignment="1">
      <alignment horizontal="right"/>
    </xf>
    <xf numFmtId="3" fontId="4" fillId="4" borderId="23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center"/>
    </xf>
    <xf numFmtId="3" fontId="4" fillId="3" borderId="0" xfId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wrapText="1"/>
    </xf>
    <xf numFmtId="3" fontId="4" fillId="3" borderId="0" xfId="1" applyNumberFormat="1" applyFont="1" applyFill="1" applyBorder="1" applyAlignment="1" applyProtection="1">
      <alignment wrapText="1"/>
    </xf>
    <xf numFmtId="1" fontId="4" fillId="4" borderId="1" xfId="1" applyNumberFormat="1" applyFont="1" applyFill="1" applyBorder="1" applyAlignment="1">
      <alignment horizontal="right"/>
    </xf>
    <xf numFmtId="1" fontId="4" fillId="4" borderId="0" xfId="1" applyNumberFormat="1" applyFont="1" applyFill="1" applyBorder="1" applyAlignment="1">
      <alignment horizontal="right"/>
    </xf>
    <xf numFmtId="171" fontId="3" fillId="4" borderId="7" xfId="1" applyNumberFormat="1" applyFont="1" applyFill="1" applyBorder="1"/>
    <xf numFmtId="171" fontId="3" fillId="4" borderId="32" xfId="1" applyNumberFormat="1" applyFont="1" applyFill="1" applyBorder="1"/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23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zoomScale="140" zoomScaleNormal="140" workbookViewId="0">
      <pane xSplit="1" ySplit="7" topLeftCell="B38" activePane="bottomRight" state="frozen"/>
      <selection pane="topRight" activeCell="B1" sqref="B1"/>
      <selection pane="bottomLeft" activeCell="A8" sqref="A8"/>
      <selection pane="bottomRight" activeCell="G35" sqref="G35"/>
    </sheetView>
  </sheetViews>
  <sheetFormatPr defaultRowHeight="12" x14ac:dyDescent="0.15"/>
  <cols>
    <col min="1" max="1" width="17.375" customWidth="1"/>
    <col min="2" max="8" width="10.625" customWidth="1"/>
  </cols>
  <sheetData>
    <row r="1" spans="1:14" ht="12" customHeight="1" x14ac:dyDescent="0.15">
      <c r="A1" s="713" t="s">
        <v>489</v>
      </c>
      <c r="B1" s="714"/>
      <c r="C1" s="714"/>
      <c r="D1" s="714"/>
      <c r="E1" s="333"/>
      <c r="F1" s="333"/>
      <c r="G1" s="333"/>
      <c r="H1" s="334"/>
    </row>
    <row r="2" spans="1:14" x14ac:dyDescent="0.15">
      <c r="A2" s="715"/>
      <c r="B2" s="716"/>
      <c r="C2" s="716"/>
      <c r="D2" s="716"/>
      <c r="E2" s="476"/>
      <c r="F2" s="476"/>
      <c r="G2" s="476"/>
      <c r="H2" s="335"/>
    </row>
    <row r="3" spans="1:14" x14ac:dyDescent="0.15">
      <c r="A3" s="715"/>
      <c r="B3" s="716"/>
      <c r="C3" s="716"/>
      <c r="D3" s="716"/>
      <c r="E3" s="476"/>
      <c r="F3" s="476"/>
      <c r="G3" s="476"/>
      <c r="H3" s="335"/>
    </row>
    <row r="4" spans="1:14" ht="12.75" x14ac:dyDescent="0.2">
      <c r="A4" s="336"/>
      <c r="B4" s="477"/>
      <c r="C4" s="477"/>
      <c r="D4" s="477"/>
      <c r="E4" s="477"/>
      <c r="F4" s="477"/>
      <c r="G4" s="477"/>
      <c r="H4" s="337"/>
    </row>
    <row r="5" spans="1:14" ht="12.75" x14ac:dyDescent="0.2">
      <c r="A5" s="338" t="s">
        <v>329</v>
      </c>
      <c r="B5" s="7"/>
      <c r="C5" s="7"/>
      <c r="D5" s="7"/>
      <c r="E5" s="7"/>
      <c r="F5" s="7"/>
      <c r="G5" s="7"/>
      <c r="H5" s="339"/>
    </row>
    <row r="6" spans="1:14" ht="12.75" x14ac:dyDescent="0.2">
      <c r="A6" s="340" t="s">
        <v>0</v>
      </c>
      <c r="B6" s="451" t="s">
        <v>248</v>
      </c>
      <c r="C6" s="451" t="s">
        <v>251</v>
      </c>
      <c r="D6" s="451" t="s">
        <v>262</v>
      </c>
      <c r="E6" s="451" t="s">
        <v>302</v>
      </c>
      <c r="F6" s="451" t="s">
        <v>350</v>
      </c>
      <c r="G6" s="451" t="s">
        <v>393</v>
      </c>
      <c r="H6" s="341" t="s">
        <v>472</v>
      </c>
    </row>
    <row r="7" spans="1:14" ht="17.25" customHeight="1" thickBot="1" x14ac:dyDescent="0.25">
      <c r="A7" s="342"/>
      <c r="B7" s="188"/>
      <c r="C7" s="188"/>
      <c r="D7" s="189"/>
      <c r="E7" s="189"/>
      <c r="F7" s="189"/>
      <c r="G7" s="189" t="s">
        <v>24</v>
      </c>
      <c r="H7" s="343" t="s">
        <v>24</v>
      </c>
    </row>
    <row r="8" spans="1:14" ht="12.75" x14ac:dyDescent="0.2">
      <c r="A8" s="456" t="s">
        <v>2</v>
      </c>
      <c r="B8" s="460"/>
      <c r="C8" s="461"/>
      <c r="E8" s="461" t="s">
        <v>18</v>
      </c>
      <c r="F8" s="462"/>
      <c r="G8" s="462"/>
      <c r="H8" s="463"/>
    </row>
    <row r="9" spans="1:14" ht="12.75" x14ac:dyDescent="0.2">
      <c r="A9" s="457" t="s">
        <v>23</v>
      </c>
      <c r="B9" s="464"/>
      <c r="C9" s="4"/>
      <c r="D9" s="4"/>
      <c r="E9" s="4"/>
      <c r="F9" s="4"/>
      <c r="G9" s="4"/>
      <c r="H9" s="344"/>
    </row>
    <row r="10" spans="1:14" ht="12.75" x14ac:dyDescent="0.2">
      <c r="A10" s="457" t="s">
        <v>3</v>
      </c>
      <c r="B10" s="465">
        <v>2.9449999999999998</v>
      </c>
      <c r="C10" s="5">
        <v>2.5510000000000002</v>
      </c>
      <c r="D10" s="5">
        <v>3.0329999999999999</v>
      </c>
      <c r="E10" s="5">
        <v>2.5310000000000001</v>
      </c>
      <c r="F10" s="5">
        <v>2.2189999999999999</v>
      </c>
      <c r="G10" s="5">
        <v>2.8940000000000001</v>
      </c>
      <c r="H10" s="345">
        <v>2.9319999999999999</v>
      </c>
    </row>
    <row r="11" spans="1:14" ht="12.75" x14ac:dyDescent="0.2">
      <c r="A11" s="457" t="s">
        <v>4</v>
      </c>
      <c r="B11" s="465">
        <v>2.9089999999999998</v>
      </c>
      <c r="C11" s="5">
        <v>2.4750000000000001</v>
      </c>
      <c r="D11" s="5">
        <v>2.9780000000000002</v>
      </c>
      <c r="E11" s="5">
        <v>2.4780000000000002</v>
      </c>
      <c r="F11" s="5">
        <v>2.1669999999999998</v>
      </c>
      <c r="G11" s="5">
        <v>2.8540000000000001</v>
      </c>
      <c r="H11" s="345">
        <v>2.8839999999999999</v>
      </c>
    </row>
    <row r="12" spans="1:14" ht="12.75" x14ac:dyDescent="0.2">
      <c r="A12" s="457" t="s">
        <v>1</v>
      </c>
      <c r="B12" s="464"/>
      <c r="C12" s="4"/>
      <c r="D12" s="4"/>
      <c r="E12" s="4"/>
      <c r="F12" s="4"/>
      <c r="G12" s="4"/>
      <c r="H12" s="344"/>
      <c r="N12" s="186"/>
    </row>
    <row r="13" spans="1:14" ht="12.75" x14ac:dyDescent="0.2">
      <c r="A13" s="457" t="s">
        <v>1</v>
      </c>
      <c r="B13" s="591"/>
      <c r="C13" s="591"/>
      <c r="E13" s="466" t="s">
        <v>19</v>
      </c>
      <c r="F13" s="4"/>
      <c r="G13" s="4"/>
      <c r="H13" s="344"/>
    </row>
    <row r="14" spans="1:14" ht="12.75" x14ac:dyDescent="0.2">
      <c r="A14" s="457" t="s">
        <v>1</v>
      </c>
      <c r="B14" s="464"/>
      <c r="C14" s="4"/>
      <c r="D14" s="4"/>
      <c r="E14" s="4"/>
      <c r="F14" s="4"/>
      <c r="G14" s="4"/>
      <c r="H14" s="344"/>
    </row>
    <row r="15" spans="1:14" ht="12.75" x14ac:dyDescent="0.2">
      <c r="A15" s="457" t="s">
        <v>5</v>
      </c>
      <c r="B15" s="467">
        <v>7692</v>
      </c>
      <c r="C15" s="346">
        <f t="shared" ref="C15:H15" si="0">C20/C11*100</f>
        <v>7473.7777777777783</v>
      </c>
      <c r="D15" s="346">
        <f t="shared" si="0"/>
        <v>7620.0134318334449</v>
      </c>
      <c r="E15" s="346">
        <f t="shared" si="0"/>
        <v>7709.9273607748173</v>
      </c>
      <c r="F15" s="346">
        <f t="shared" si="0"/>
        <v>7385.371481310568</v>
      </c>
      <c r="G15" s="346">
        <f t="shared" si="0"/>
        <v>7648.5984583041345</v>
      </c>
      <c r="H15" s="347">
        <f t="shared" si="0"/>
        <v>7635.2288488210816</v>
      </c>
    </row>
    <row r="16" spans="1:14" ht="12.75" x14ac:dyDescent="0.2">
      <c r="A16" s="457" t="s">
        <v>1</v>
      </c>
      <c r="B16" s="464"/>
      <c r="C16" s="4"/>
      <c r="D16" s="4"/>
      <c r="E16" s="4"/>
      <c r="F16" s="452"/>
      <c r="G16" s="452"/>
      <c r="H16" s="348"/>
    </row>
    <row r="17" spans="1:8" ht="12.75" x14ac:dyDescent="0.2">
      <c r="A17" s="457" t="s">
        <v>1</v>
      </c>
      <c r="B17" s="468"/>
      <c r="C17" s="469"/>
      <c r="E17" s="469" t="s">
        <v>20</v>
      </c>
      <c r="F17" s="4"/>
      <c r="G17" s="4"/>
      <c r="H17" s="344"/>
    </row>
    <row r="18" spans="1:8" ht="12.75" x14ac:dyDescent="0.2">
      <c r="A18" s="457" t="s">
        <v>1</v>
      </c>
      <c r="B18" s="464"/>
      <c r="C18" s="4"/>
      <c r="D18" s="4"/>
      <c r="E18" s="4"/>
      <c r="F18" s="4"/>
      <c r="G18" s="4"/>
      <c r="H18" s="344"/>
    </row>
    <row r="19" spans="1:8" ht="12.75" x14ac:dyDescent="0.2">
      <c r="A19" s="457" t="s">
        <v>6</v>
      </c>
      <c r="B19" s="470">
        <v>29.381</v>
      </c>
      <c r="C19" s="453">
        <f t="shared" ref="C19:G19" si="1">B35</f>
        <v>44.850999999999999</v>
      </c>
      <c r="D19" s="453">
        <f t="shared" si="1"/>
        <v>28.661999999999999</v>
      </c>
      <c r="E19" s="453">
        <f t="shared" si="1"/>
        <v>43.676000000000016</v>
      </c>
      <c r="F19" s="453">
        <f t="shared" si="1"/>
        <v>39.72399999999999</v>
      </c>
      <c r="G19" s="453">
        <f t="shared" si="1"/>
        <v>30.256</v>
      </c>
      <c r="H19" s="349">
        <f>G35</f>
        <v>39.84699999999998</v>
      </c>
    </row>
    <row r="20" spans="1:8" ht="12.75" x14ac:dyDescent="0.2">
      <c r="A20" s="457" t="s">
        <v>7</v>
      </c>
      <c r="B20" s="470">
        <v>223.761</v>
      </c>
      <c r="C20" s="453">
        <v>184.976</v>
      </c>
      <c r="D20" s="453">
        <v>226.92400000000001</v>
      </c>
      <c r="E20" s="453">
        <v>191.05199999999999</v>
      </c>
      <c r="F20" s="453">
        <v>160.041</v>
      </c>
      <c r="G20" s="453">
        <v>218.291</v>
      </c>
      <c r="H20" s="349">
        <v>220.2</v>
      </c>
    </row>
    <row r="21" spans="1:8" ht="12.75" x14ac:dyDescent="0.2">
      <c r="A21" s="457" t="s">
        <v>8</v>
      </c>
      <c r="B21" s="470">
        <v>28.984999999999999</v>
      </c>
      <c r="C21" s="453">
        <v>37.348999999999997</v>
      </c>
      <c r="D21" s="453">
        <v>34.073</v>
      </c>
      <c r="E21" s="453">
        <v>37.767000000000003</v>
      </c>
      <c r="F21" s="453">
        <v>39.911999999999999</v>
      </c>
      <c r="G21" s="453">
        <v>43.3</v>
      </c>
      <c r="H21" s="349">
        <v>44.5</v>
      </c>
    </row>
    <row r="22" spans="1:8" ht="12.75" x14ac:dyDescent="0.2">
      <c r="A22" s="457" t="s">
        <v>9</v>
      </c>
      <c r="B22" s="470">
        <f t="shared" ref="B22:E22" si="2">B19+B20+B21</f>
        <v>282.12700000000001</v>
      </c>
      <c r="C22" s="453">
        <f t="shared" si="2"/>
        <v>267.17599999999999</v>
      </c>
      <c r="D22" s="453">
        <f t="shared" si="2"/>
        <v>289.65899999999999</v>
      </c>
      <c r="E22" s="453">
        <f t="shared" si="2"/>
        <v>272.495</v>
      </c>
      <c r="F22" s="453">
        <f>F19+F20+F21</f>
        <v>239.67699999999999</v>
      </c>
      <c r="G22" s="453">
        <f>G19+G20+G21</f>
        <v>291.84699999999998</v>
      </c>
      <c r="H22" s="349">
        <f>H19+H20+H21</f>
        <v>304.54699999999997</v>
      </c>
    </row>
    <row r="23" spans="1:8" ht="12.75" x14ac:dyDescent="0.2">
      <c r="A23" s="457" t="s">
        <v>1</v>
      </c>
      <c r="B23" s="470"/>
      <c r="C23" s="453"/>
      <c r="D23" s="453"/>
      <c r="E23" s="453"/>
      <c r="F23" s="453"/>
      <c r="G23" s="453"/>
      <c r="H23" s="349"/>
    </row>
    <row r="24" spans="1:8" ht="12.75" x14ac:dyDescent="0.2">
      <c r="A24" s="457" t="s">
        <v>10</v>
      </c>
      <c r="B24" s="470"/>
      <c r="C24" s="453"/>
      <c r="D24" s="453"/>
      <c r="E24" s="453"/>
      <c r="F24" s="453"/>
      <c r="G24" s="453"/>
      <c r="H24" s="349"/>
    </row>
    <row r="25" spans="1:8" ht="12.75" x14ac:dyDescent="0.2">
      <c r="A25" s="457" t="s">
        <v>459</v>
      </c>
      <c r="B25" s="470">
        <f t="shared" ref="B25:F25" si="3">B27-B26</f>
        <v>142.077</v>
      </c>
      <c r="C25" s="453">
        <f t="shared" si="3"/>
        <v>141.91599999999997</v>
      </c>
      <c r="D25" s="453">
        <f t="shared" si="3"/>
        <v>150.47699999999998</v>
      </c>
      <c r="E25" s="453">
        <f t="shared" si="3"/>
        <v>147.49800000000002</v>
      </c>
      <c r="F25" s="453">
        <f t="shared" si="3"/>
        <v>142.79899999999998</v>
      </c>
      <c r="G25" s="453">
        <v>154.69999999999999</v>
      </c>
      <c r="H25" s="349" t="s">
        <v>26</v>
      </c>
    </row>
    <row r="26" spans="1:8" ht="12.75" x14ac:dyDescent="0.2">
      <c r="A26" s="457" t="s">
        <v>11</v>
      </c>
      <c r="B26" s="470">
        <v>2</v>
      </c>
      <c r="C26" s="453">
        <v>2.4</v>
      </c>
      <c r="D26" s="453">
        <v>2</v>
      </c>
      <c r="E26" s="453">
        <v>1.8</v>
      </c>
      <c r="F26" s="453">
        <v>2.2999999999999998</v>
      </c>
      <c r="G26" s="453">
        <v>2.2999999999999998</v>
      </c>
      <c r="H26" s="349" t="s">
        <v>26</v>
      </c>
    </row>
    <row r="27" spans="1:8" ht="12.75" x14ac:dyDescent="0.2">
      <c r="A27" s="458" t="s">
        <v>12</v>
      </c>
      <c r="B27" s="470">
        <v>144.077</v>
      </c>
      <c r="C27" s="453">
        <v>144.31599999999997</v>
      </c>
      <c r="D27" s="453">
        <v>152.47699999999998</v>
      </c>
      <c r="E27" s="453">
        <v>149.29800000000003</v>
      </c>
      <c r="F27" s="453">
        <v>145.09899999999999</v>
      </c>
      <c r="G27" s="453">
        <v>157</v>
      </c>
      <c r="H27" s="349">
        <v>160</v>
      </c>
    </row>
    <row r="28" spans="1:8" ht="12.75" x14ac:dyDescent="0.2">
      <c r="A28" s="457" t="s">
        <v>1</v>
      </c>
      <c r="B28" s="470"/>
      <c r="C28" s="453"/>
      <c r="D28" s="453"/>
      <c r="E28" s="453"/>
      <c r="F28" s="453"/>
      <c r="G28" s="453"/>
      <c r="H28" s="349"/>
    </row>
    <row r="29" spans="1:8" ht="12.75" x14ac:dyDescent="0.2">
      <c r="A29" s="457" t="s">
        <v>13</v>
      </c>
      <c r="B29" s="470">
        <v>93.198999999999998</v>
      </c>
      <c r="C29" s="453">
        <v>94.197999999999993</v>
      </c>
      <c r="D29" s="453">
        <v>93.506</v>
      </c>
      <c r="E29" s="453">
        <v>83.472999999999999</v>
      </c>
      <c r="F29" s="453">
        <v>64.322000000000003</v>
      </c>
      <c r="G29" s="453">
        <v>95</v>
      </c>
      <c r="H29" s="349">
        <v>100</v>
      </c>
    </row>
    <row r="30" spans="1:8" ht="12.75" x14ac:dyDescent="0.2">
      <c r="A30" s="457" t="s">
        <v>14</v>
      </c>
      <c r="B30" s="470">
        <v>33.253</v>
      </c>
      <c r="C30" s="453">
        <v>31.344999999999999</v>
      </c>
      <c r="D30" s="453">
        <v>34.619</v>
      </c>
      <c r="E30" s="453">
        <v>28.166</v>
      </c>
      <c r="F30" s="453">
        <v>18.132999999999999</v>
      </c>
      <c r="G30" s="453">
        <v>43</v>
      </c>
      <c r="H30" s="349">
        <v>44</v>
      </c>
    </row>
    <row r="31" spans="1:8" ht="12.75" x14ac:dyDescent="0.2">
      <c r="A31" s="457" t="s">
        <v>417</v>
      </c>
      <c r="B31" s="470">
        <v>59.945999999999998</v>
      </c>
      <c r="C31" s="453">
        <v>62.853000000000002</v>
      </c>
      <c r="D31" s="453">
        <v>58.887</v>
      </c>
      <c r="E31" s="453">
        <v>55.307000000000002</v>
      </c>
      <c r="F31" s="453">
        <v>46.189</v>
      </c>
      <c r="G31" s="453">
        <v>52</v>
      </c>
      <c r="H31" s="349">
        <v>56</v>
      </c>
    </row>
    <row r="32" spans="1:8" ht="12.75" x14ac:dyDescent="0.2">
      <c r="A32" s="336"/>
      <c r="B32" s="470"/>
      <c r="C32" s="453"/>
      <c r="D32" s="453"/>
      <c r="E32" s="453"/>
      <c r="F32" s="453"/>
      <c r="G32" s="453"/>
      <c r="H32" s="349"/>
    </row>
    <row r="33" spans="1:8" ht="12.75" x14ac:dyDescent="0.2">
      <c r="A33" s="457" t="s">
        <v>15</v>
      </c>
      <c r="B33" s="470">
        <f t="shared" ref="B33:G33" si="4">B27+B29</f>
        <v>237.27600000000001</v>
      </c>
      <c r="C33" s="453">
        <f t="shared" si="4"/>
        <v>238.51399999999995</v>
      </c>
      <c r="D33" s="453">
        <f t="shared" si="4"/>
        <v>245.98299999999998</v>
      </c>
      <c r="E33" s="453">
        <f t="shared" si="4"/>
        <v>232.77100000000002</v>
      </c>
      <c r="F33" s="453">
        <f t="shared" si="4"/>
        <v>209.42099999999999</v>
      </c>
      <c r="G33" s="453">
        <f t="shared" si="4"/>
        <v>252</v>
      </c>
      <c r="H33" s="349">
        <f t="shared" ref="H33" si="5">H27+H29</f>
        <v>260</v>
      </c>
    </row>
    <row r="34" spans="1:8" ht="12.75" x14ac:dyDescent="0.2">
      <c r="A34" s="457" t="s">
        <v>1</v>
      </c>
      <c r="B34" s="470"/>
      <c r="C34" s="453"/>
      <c r="D34" s="453"/>
      <c r="E34" s="453"/>
      <c r="F34" s="453"/>
      <c r="G34" s="453"/>
      <c r="H34" s="349"/>
    </row>
    <row r="35" spans="1:8" ht="12.75" x14ac:dyDescent="0.2">
      <c r="A35" s="457" t="s">
        <v>16</v>
      </c>
      <c r="B35" s="470">
        <v>44.850999999999999</v>
      </c>
      <c r="C35" s="453">
        <v>28.661999999999999</v>
      </c>
      <c r="D35" s="453">
        <f>D22-D33</f>
        <v>43.676000000000016</v>
      </c>
      <c r="E35" s="453">
        <f>E22-E33</f>
        <v>39.72399999999999</v>
      </c>
      <c r="F35" s="453">
        <f>F22-F33</f>
        <v>30.256</v>
      </c>
      <c r="G35" s="453">
        <f>G22-G33</f>
        <v>39.84699999999998</v>
      </c>
      <c r="H35" s="349">
        <f>H22-H33</f>
        <v>44.546999999999969</v>
      </c>
    </row>
    <row r="36" spans="1:8" ht="12.75" x14ac:dyDescent="0.2">
      <c r="A36" s="336"/>
      <c r="B36" s="470"/>
      <c r="C36" s="453"/>
      <c r="D36" s="453"/>
      <c r="E36" s="453"/>
      <c r="F36" s="453"/>
      <c r="G36" s="453"/>
      <c r="H36" s="349"/>
    </row>
    <row r="37" spans="1:8" ht="12.75" x14ac:dyDescent="0.2">
      <c r="A37" s="457" t="s">
        <v>1</v>
      </c>
      <c r="B37" s="468"/>
      <c r="C37" s="469"/>
      <c r="E37" s="469" t="s">
        <v>21</v>
      </c>
      <c r="F37" s="4"/>
      <c r="G37" s="4"/>
      <c r="H37" s="344"/>
    </row>
    <row r="38" spans="1:8" ht="12.75" x14ac:dyDescent="0.2">
      <c r="A38" s="457" t="s">
        <v>1</v>
      </c>
      <c r="B38" s="464"/>
      <c r="C38" s="4"/>
      <c r="D38" s="4"/>
      <c r="E38" s="4"/>
      <c r="F38" s="4"/>
      <c r="G38" s="4"/>
      <c r="H38" s="344"/>
    </row>
    <row r="39" spans="1:8" ht="12.75" x14ac:dyDescent="0.2">
      <c r="A39" s="458" t="s">
        <v>17</v>
      </c>
      <c r="B39" s="471">
        <f t="shared" ref="B39:F39" si="6">B35/B33*100</f>
        <v>18.902459582932956</v>
      </c>
      <c r="C39" s="454">
        <f t="shared" si="6"/>
        <v>12.016904668069801</v>
      </c>
      <c r="D39" s="454">
        <f t="shared" si="6"/>
        <v>17.755698564534956</v>
      </c>
      <c r="E39" s="454">
        <f t="shared" si="6"/>
        <v>17.065699765005085</v>
      </c>
      <c r="F39" s="454">
        <f t="shared" si="6"/>
        <v>14.447452738741578</v>
      </c>
      <c r="G39" s="454">
        <f t="shared" ref="G39:H39" si="7">G35/G33*100</f>
        <v>15.81230158730158</v>
      </c>
      <c r="H39" s="350">
        <f t="shared" si="7"/>
        <v>17.133461538461525</v>
      </c>
    </row>
    <row r="40" spans="1:8" ht="12.75" x14ac:dyDescent="0.2">
      <c r="A40" s="336"/>
      <c r="B40" s="464"/>
      <c r="C40" s="4"/>
      <c r="D40" s="4"/>
      <c r="E40" s="4"/>
      <c r="F40" s="4"/>
      <c r="G40" s="4"/>
      <c r="H40" s="344"/>
    </row>
    <row r="41" spans="1:8" ht="12.75" x14ac:dyDescent="0.2">
      <c r="A41" s="336"/>
      <c r="B41" s="472"/>
      <c r="C41" s="473"/>
      <c r="E41" s="473" t="s">
        <v>447</v>
      </c>
      <c r="F41" s="4"/>
      <c r="G41" s="4"/>
      <c r="H41" s="344"/>
    </row>
    <row r="42" spans="1:8" ht="12.75" x14ac:dyDescent="0.2">
      <c r="A42" s="457" t="s">
        <v>418</v>
      </c>
      <c r="B42" s="474"/>
      <c r="C42" s="455"/>
      <c r="D42" s="455"/>
      <c r="E42" s="455"/>
      <c r="F42" s="455"/>
      <c r="G42" s="455"/>
      <c r="H42" s="351"/>
    </row>
    <row r="43" spans="1:8" ht="12.75" x14ac:dyDescent="0.2">
      <c r="A43" s="457" t="s">
        <v>454</v>
      </c>
      <c r="B43" s="474">
        <v>12.6</v>
      </c>
      <c r="C43" s="455">
        <v>13.6</v>
      </c>
      <c r="D43" s="455">
        <v>14.4</v>
      </c>
      <c r="E43" s="455">
        <v>16.100000000000001</v>
      </c>
      <c r="F43" s="455">
        <v>19.8</v>
      </c>
      <c r="G43" s="455">
        <v>18</v>
      </c>
      <c r="H43" s="351">
        <v>15.6</v>
      </c>
    </row>
    <row r="44" spans="1:8" ht="12.75" x14ac:dyDescent="0.2">
      <c r="A44" s="457" t="s">
        <v>1</v>
      </c>
      <c r="B44" s="464"/>
      <c r="C44" s="4"/>
      <c r="D44" s="4"/>
      <c r="E44" s="4"/>
      <c r="F44" s="4"/>
      <c r="G44" s="4"/>
      <c r="H44" s="344"/>
    </row>
    <row r="45" spans="1:8" ht="12.75" x14ac:dyDescent="0.2">
      <c r="A45" s="336"/>
      <c r="B45" s="468"/>
      <c r="C45" s="469"/>
      <c r="E45" s="469" t="s">
        <v>21</v>
      </c>
      <c r="F45" s="4"/>
      <c r="G45" s="4"/>
      <c r="H45" s="344"/>
    </row>
    <row r="46" spans="1:8" ht="12.75" x14ac:dyDescent="0.2">
      <c r="A46" s="457"/>
      <c r="B46" s="464"/>
      <c r="C46" s="4"/>
      <c r="D46" s="4"/>
      <c r="E46" s="4"/>
      <c r="F46" s="4"/>
      <c r="G46" s="4"/>
      <c r="H46" s="344"/>
    </row>
    <row r="47" spans="1:8" ht="20.25" customHeight="1" thickBot="1" x14ac:dyDescent="0.25">
      <c r="A47" s="459" t="s">
        <v>419</v>
      </c>
      <c r="B47" s="475">
        <v>70</v>
      </c>
      <c r="C47" s="352">
        <v>70</v>
      </c>
      <c r="D47" s="352">
        <v>70</v>
      </c>
      <c r="E47" s="352">
        <v>70</v>
      </c>
      <c r="F47" s="352">
        <v>70</v>
      </c>
      <c r="G47" s="352">
        <v>70</v>
      </c>
      <c r="H47" s="353">
        <v>70</v>
      </c>
    </row>
    <row r="48" spans="1:8" ht="12.75" x14ac:dyDescent="0.2">
      <c r="A48" s="6" t="s">
        <v>416</v>
      </c>
      <c r="B48" s="4"/>
      <c r="C48" s="4"/>
      <c r="D48" s="4"/>
      <c r="E48" s="5"/>
      <c r="F48" s="187"/>
      <c r="G48" s="187"/>
      <c r="H48" s="187"/>
    </row>
    <row r="49" spans="1:8" ht="12.75" x14ac:dyDescent="0.2">
      <c r="A49" s="6" t="s">
        <v>346</v>
      </c>
      <c r="B49" s="4"/>
      <c r="C49" s="4"/>
      <c r="D49" s="4"/>
      <c r="E49" s="4"/>
      <c r="F49" s="4"/>
      <c r="G49" s="4"/>
      <c r="H49" s="4"/>
    </row>
    <row r="50" spans="1:8" ht="12.75" x14ac:dyDescent="0.2">
      <c r="A50" s="3" t="s">
        <v>323</v>
      </c>
      <c r="B50" s="4"/>
      <c r="C50" s="4"/>
      <c r="D50" s="4"/>
      <c r="E50" s="4"/>
      <c r="F50" s="4"/>
      <c r="G50" s="4"/>
      <c r="H50" s="4"/>
    </row>
    <row r="51" spans="1:8" ht="12.75" x14ac:dyDescent="0.2">
      <c r="A51" s="6" t="s">
        <v>483</v>
      </c>
      <c r="B51" s="4"/>
      <c r="C51" s="4"/>
      <c r="D51" s="4"/>
      <c r="E51" s="4"/>
      <c r="F51" s="4"/>
      <c r="G51" s="4"/>
      <c r="H51" s="4"/>
    </row>
    <row r="52" spans="1:8" ht="12.75" x14ac:dyDescent="0.2">
      <c r="A52" s="1"/>
      <c r="B52" s="2"/>
      <c r="C52" s="2"/>
      <c r="D52" s="2"/>
      <c r="E52" s="2"/>
      <c r="F52" s="2"/>
      <c r="G52" s="2"/>
      <c r="H52" s="2"/>
    </row>
    <row r="53" spans="1:8" ht="12.75" x14ac:dyDescent="0.2">
      <c r="A53" s="1"/>
      <c r="B53" s="2"/>
      <c r="C53" s="2"/>
      <c r="D53" s="2"/>
      <c r="E53" s="2"/>
      <c r="F53" s="2"/>
      <c r="G53" s="2"/>
      <c r="H53" s="2"/>
    </row>
    <row r="54" spans="1:8" ht="12.75" x14ac:dyDescent="0.2">
      <c r="A54" s="1"/>
      <c r="B54" s="2"/>
      <c r="C54" s="2"/>
      <c r="D54" s="2"/>
      <c r="E54" s="2"/>
      <c r="F54" s="2"/>
      <c r="G54" s="2"/>
      <c r="H54" s="2"/>
    </row>
    <row r="55" spans="1:8" ht="12.75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68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68" activePane="bottomRight" state="frozen"/>
      <selection pane="topRight" activeCell="B1" sqref="B1"/>
      <selection pane="bottomLeft" activeCell="A4" sqref="A4"/>
      <selection pane="bottomRight" activeCell="F82" sqref="F82"/>
    </sheetView>
  </sheetViews>
  <sheetFormatPr defaultColWidth="9.625" defaultRowHeight="12" x14ac:dyDescent="0.2"/>
  <cols>
    <col min="1" max="1" width="23.875" style="8" customWidth="1"/>
    <col min="2" max="2" width="12.125" style="9" customWidth="1"/>
    <col min="3" max="3" width="12.375" style="9" customWidth="1"/>
    <col min="4" max="6" width="12.125" style="9" customWidth="1"/>
    <col min="7" max="7" width="12.125" style="154" customWidth="1"/>
    <col min="8" max="8" width="11.625" style="9" customWidth="1"/>
    <col min="9" max="253" width="9.625" style="8"/>
    <col min="254" max="254" width="20.375" style="8" customWidth="1"/>
    <col min="255" max="255" width="10.75" style="8" customWidth="1"/>
    <col min="256" max="260" width="11.375" style="8" customWidth="1"/>
    <col min="261" max="262" width="9.625" style="8"/>
    <col min="263" max="263" width="2.625" style="8" customWidth="1"/>
    <col min="264" max="264" width="7.625" style="8" customWidth="1"/>
    <col min="265" max="509" width="9.625" style="8"/>
    <col min="510" max="510" width="20.375" style="8" customWidth="1"/>
    <col min="511" max="511" width="10.75" style="8" customWidth="1"/>
    <col min="512" max="516" width="11.375" style="8" customWidth="1"/>
    <col min="517" max="518" width="9.625" style="8"/>
    <col min="519" max="519" width="2.625" style="8" customWidth="1"/>
    <col min="520" max="520" width="7.625" style="8" customWidth="1"/>
    <col min="521" max="765" width="9.625" style="8"/>
    <col min="766" max="766" width="20.375" style="8" customWidth="1"/>
    <col min="767" max="767" width="10.75" style="8" customWidth="1"/>
    <col min="768" max="772" width="11.375" style="8" customWidth="1"/>
    <col min="773" max="774" width="9.625" style="8"/>
    <col min="775" max="775" width="2.625" style="8" customWidth="1"/>
    <col min="776" max="776" width="7.625" style="8" customWidth="1"/>
    <col min="777" max="1021" width="9.625" style="8"/>
    <col min="1022" max="1022" width="20.375" style="8" customWidth="1"/>
    <col min="1023" max="1023" width="10.75" style="8" customWidth="1"/>
    <col min="1024" max="1028" width="11.375" style="8" customWidth="1"/>
    <col min="1029" max="1030" width="9.625" style="8"/>
    <col min="1031" max="1031" width="2.625" style="8" customWidth="1"/>
    <col min="1032" max="1032" width="7.625" style="8" customWidth="1"/>
    <col min="1033" max="1277" width="9.625" style="8"/>
    <col min="1278" max="1278" width="20.375" style="8" customWidth="1"/>
    <col min="1279" max="1279" width="10.75" style="8" customWidth="1"/>
    <col min="1280" max="1284" width="11.375" style="8" customWidth="1"/>
    <col min="1285" max="1286" width="9.625" style="8"/>
    <col min="1287" max="1287" width="2.625" style="8" customWidth="1"/>
    <col min="1288" max="1288" width="7.625" style="8" customWidth="1"/>
    <col min="1289" max="1533" width="9.625" style="8"/>
    <col min="1534" max="1534" width="20.375" style="8" customWidth="1"/>
    <col min="1535" max="1535" width="10.75" style="8" customWidth="1"/>
    <col min="1536" max="1540" width="11.375" style="8" customWidth="1"/>
    <col min="1541" max="1542" width="9.625" style="8"/>
    <col min="1543" max="1543" width="2.625" style="8" customWidth="1"/>
    <col min="1544" max="1544" width="7.625" style="8" customWidth="1"/>
    <col min="1545" max="1789" width="9.625" style="8"/>
    <col min="1790" max="1790" width="20.375" style="8" customWidth="1"/>
    <col min="1791" max="1791" width="10.75" style="8" customWidth="1"/>
    <col min="1792" max="1796" width="11.375" style="8" customWidth="1"/>
    <col min="1797" max="1798" width="9.625" style="8"/>
    <col min="1799" max="1799" width="2.625" style="8" customWidth="1"/>
    <col min="1800" max="1800" width="7.625" style="8" customWidth="1"/>
    <col min="1801" max="2045" width="9.625" style="8"/>
    <col min="2046" max="2046" width="20.375" style="8" customWidth="1"/>
    <col min="2047" max="2047" width="10.75" style="8" customWidth="1"/>
    <col min="2048" max="2052" width="11.375" style="8" customWidth="1"/>
    <col min="2053" max="2054" width="9.625" style="8"/>
    <col min="2055" max="2055" width="2.625" style="8" customWidth="1"/>
    <col min="2056" max="2056" width="7.625" style="8" customWidth="1"/>
    <col min="2057" max="2301" width="9.625" style="8"/>
    <col min="2302" max="2302" width="20.375" style="8" customWidth="1"/>
    <col min="2303" max="2303" width="10.75" style="8" customWidth="1"/>
    <col min="2304" max="2308" width="11.375" style="8" customWidth="1"/>
    <col min="2309" max="2310" width="9.625" style="8"/>
    <col min="2311" max="2311" width="2.625" style="8" customWidth="1"/>
    <col min="2312" max="2312" width="7.625" style="8" customWidth="1"/>
    <col min="2313" max="2557" width="9.625" style="8"/>
    <col min="2558" max="2558" width="20.375" style="8" customWidth="1"/>
    <col min="2559" max="2559" width="10.75" style="8" customWidth="1"/>
    <col min="2560" max="2564" width="11.375" style="8" customWidth="1"/>
    <col min="2565" max="2566" width="9.625" style="8"/>
    <col min="2567" max="2567" width="2.625" style="8" customWidth="1"/>
    <col min="2568" max="2568" width="7.625" style="8" customWidth="1"/>
    <col min="2569" max="2813" width="9.625" style="8"/>
    <col min="2814" max="2814" width="20.375" style="8" customWidth="1"/>
    <col min="2815" max="2815" width="10.75" style="8" customWidth="1"/>
    <col min="2816" max="2820" width="11.375" style="8" customWidth="1"/>
    <col min="2821" max="2822" width="9.625" style="8"/>
    <col min="2823" max="2823" width="2.625" style="8" customWidth="1"/>
    <col min="2824" max="2824" width="7.625" style="8" customWidth="1"/>
    <col min="2825" max="3069" width="9.625" style="8"/>
    <col min="3070" max="3070" width="20.375" style="8" customWidth="1"/>
    <col min="3071" max="3071" width="10.75" style="8" customWidth="1"/>
    <col min="3072" max="3076" width="11.375" style="8" customWidth="1"/>
    <col min="3077" max="3078" width="9.625" style="8"/>
    <col min="3079" max="3079" width="2.625" style="8" customWidth="1"/>
    <col min="3080" max="3080" width="7.625" style="8" customWidth="1"/>
    <col min="3081" max="3325" width="9.625" style="8"/>
    <col min="3326" max="3326" width="20.375" style="8" customWidth="1"/>
    <col min="3327" max="3327" width="10.75" style="8" customWidth="1"/>
    <col min="3328" max="3332" width="11.375" style="8" customWidth="1"/>
    <col min="3333" max="3334" width="9.625" style="8"/>
    <col min="3335" max="3335" width="2.625" style="8" customWidth="1"/>
    <col min="3336" max="3336" width="7.625" style="8" customWidth="1"/>
    <col min="3337" max="3581" width="9.625" style="8"/>
    <col min="3582" max="3582" width="20.375" style="8" customWidth="1"/>
    <col min="3583" max="3583" width="10.75" style="8" customWidth="1"/>
    <col min="3584" max="3588" width="11.375" style="8" customWidth="1"/>
    <col min="3589" max="3590" width="9.625" style="8"/>
    <col min="3591" max="3591" width="2.625" style="8" customWidth="1"/>
    <col min="3592" max="3592" width="7.625" style="8" customWidth="1"/>
    <col min="3593" max="3837" width="9.625" style="8"/>
    <col min="3838" max="3838" width="20.375" style="8" customWidth="1"/>
    <col min="3839" max="3839" width="10.75" style="8" customWidth="1"/>
    <col min="3840" max="3844" width="11.375" style="8" customWidth="1"/>
    <col min="3845" max="3846" width="9.625" style="8"/>
    <col min="3847" max="3847" width="2.625" style="8" customWidth="1"/>
    <col min="3848" max="3848" width="7.625" style="8" customWidth="1"/>
    <col min="3849" max="4093" width="9.625" style="8"/>
    <col min="4094" max="4094" width="20.375" style="8" customWidth="1"/>
    <col min="4095" max="4095" width="10.75" style="8" customWidth="1"/>
    <col min="4096" max="4100" width="11.375" style="8" customWidth="1"/>
    <col min="4101" max="4102" width="9.625" style="8"/>
    <col min="4103" max="4103" width="2.625" style="8" customWidth="1"/>
    <col min="4104" max="4104" width="7.625" style="8" customWidth="1"/>
    <col min="4105" max="4349" width="9.625" style="8"/>
    <col min="4350" max="4350" width="20.375" style="8" customWidth="1"/>
    <col min="4351" max="4351" width="10.75" style="8" customWidth="1"/>
    <col min="4352" max="4356" width="11.375" style="8" customWidth="1"/>
    <col min="4357" max="4358" width="9.625" style="8"/>
    <col min="4359" max="4359" width="2.625" style="8" customWidth="1"/>
    <col min="4360" max="4360" width="7.625" style="8" customWidth="1"/>
    <col min="4361" max="4605" width="9.625" style="8"/>
    <col min="4606" max="4606" width="20.375" style="8" customWidth="1"/>
    <col min="4607" max="4607" width="10.75" style="8" customWidth="1"/>
    <col min="4608" max="4612" width="11.375" style="8" customWidth="1"/>
    <col min="4613" max="4614" width="9.625" style="8"/>
    <col min="4615" max="4615" width="2.625" style="8" customWidth="1"/>
    <col min="4616" max="4616" width="7.625" style="8" customWidth="1"/>
    <col min="4617" max="4861" width="9.625" style="8"/>
    <col min="4862" max="4862" width="20.375" style="8" customWidth="1"/>
    <col min="4863" max="4863" width="10.75" style="8" customWidth="1"/>
    <col min="4864" max="4868" width="11.375" style="8" customWidth="1"/>
    <col min="4869" max="4870" width="9.625" style="8"/>
    <col min="4871" max="4871" width="2.625" style="8" customWidth="1"/>
    <col min="4872" max="4872" width="7.625" style="8" customWidth="1"/>
    <col min="4873" max="5117" width="9.625" style="8"/>
    <col min="5118" max="5118" width="20.375" style="8" customWidth="1"/>
    <col min="5119" max="5119" width="10.75" style="8" customWidth="1"/>
    <col min="5120" max="5124" width="11.375" style="8" customWidth="1"/>
    <col min="5125" max="5126" width="9.625" style="8"/>
    <col min="5127" max="5127" width="2.625" style="8" customWidth="1"/>
    <col min="5128" max="5128" width="7.625" style="8" customWidth="1"/>
    <col min="5129" max="5373" width="9.625" style="8"/>
    <col min="5374" max="5374" width="20.375" style="8" customWidth="1"/>
    <col min="5375" max="5375" width="10.75" style="8" customWidth="1"/>
    <col min="5376" max="5380" width="11.375" style="8" customWidth="1"/>
    <col min="5381" max="5382" width="9.625" style="8"/>
    <col min="5383" max="5383" width="2.625" style="8" customWidth="1"/>
    <col min="5384" max="5384" width="7.625" style="8" customWidth="1"/>
    <col min="5385" max="5629" width="9.625" style="8"/>
    <col min="5630" max="5630" width="20.375" style="8" customWidth="1"/>
    <col min="5631" max="5631" width="10.75" style="8" customWidth="1"/>
    <col min="5632" max="5636" width="11.375" style="8" customWidth="1"/>
    <col min="5637" max="5638" width="9.625" style="8"/>
    <col min="5639" max="5639" width="2.625" style="8" customWidth="1"/>
    <col min="5640" max="5640" width="7.625" style="8" customWidth="1"/>
    <col min="5641" max="5885" width="9.625" style="8"/>
    <col min="5886" max="5886" width="20.375" style="8" customWidth="1"/>
    <col min="5887" max="5887" width="10.75" style="8" customWidth="1"/>
    <col min="5888" max="5892" width="11.375" style="8" customWidth="1"/>
    <col min="5893" max="5894" width="9.625" style="8"/>
    <col min="5895" max="5895" width="2.625" style="8" customWidth="1"/>
    <col min="5896" max="5896" width="7.625" style="8" customWidth="1"/>
    <col min="5897" max="6141" width="9.625" style="8"/>
    <col min="6142" max="6142" width="20.375" style="8" customWidth="1"/>
    <col min="6143" max="6143" width="10.75" style="8" customWidth="1"/>
    <col min="6144" max="6148" width="11.375" style="8" customWidth="1"/>
    <col min="6149" max="6150" width="9.625" style="8"/>
    <col min="6151" max="6151" width="2.625" style="8" customWidth="1"/>
    <col min="6152" max="6152" width="7.625" style="8" customWidth="1"/>
    <col min="6153" max="6397" width="9.625" style="8"/>
    <col min="6398" max="6398" width="20.375" style="8" customWidth="1"/>
    <col min="6399" max="6399" width="10.75" style="8" customWidth="1"/>
    <col min="6400" max="6404" width="11.375" style="8" customWidth="1"/>
    <col min="6405" max="6406" width="9.625" style="8"/>
    <col min="6407" max="6407" width="2.625" style="8" customWidth="1"/>
    <col min="6408" max="6408" width="7.625" style="8" customWidth="1"/>
    <col min="6409" max="6653" width="9.625" style="8"/>
    <col min="6654" max="6654" width="20.375" style="8" customWidth="1"/>
    <col min="6655" max="6655" width="10.75" style="8" customWidth="1"/>
    <col min="6656" max="6660" width="11.375" style="8" customWidth="1"/>
    <col min="6661" max="6662" width="9.625" style="8"/>
    <col min="6663" max="6663" width="2.625" style="8" customWidth="1"/>
    <col min="6664" max="6664" width="7.625" style="8" customWidth="1"/>
    <col min="6665" max="6909" width="9.625" style="8"/>
    <col min="6910" max="6910" width="20.375" style="8" customWidth="1"/>
    <col min="6911" max="6911" width="10.75" style="8" customWidth="1"/>
    <col min="6912" max="6916" width="11.375" style="8" customWidth="1"/>
    <col min="6917" max="6918" width="9.625" style="8"/>
    <col min="6919" max="6919" width="2.625" style="8" customWidth="1"/>
    <col min="6920" max="6920" width="7.625" style="8" customWidth="1"/>
    <col min="6921" max="7165" width="9.625" style="8"/>
    <col min="7166" max="7166" width="20.375" style="8" customWidth="1"/>
    <col min="7167" max="7167" width="10.75" style="8" customWidth="1"/>
    <col min="7168" max="7172" width="11.375" style="8" customWidth="1"/>
    <col min="7173" max="7174" width="9.625" style="8"/>
    <col min="7175" max="7175" width="2.625" style="8" customWidth="1"/>
    <col min="7176" max="7176" width="7.625" style="8" customWidth="1"/>
    <col min="7177" max="7421" width="9.625" style="8"/>
    <col min="7422" max="7422" width="20.375" style="8" customWidth="1"/>
    <col min="7423" max="7423" width="10.75" style="8" customWidth="1"/>
    <col min="7424" max="7428" width="11.375" style="8" customWidth="1"/>
    <col min="7429" max="7430" width="9.625" style="8"/>
    <col min="7431" max="7431" width="2.625" style="8" customWidth="1"/>
    <col min="7432" max="7432" width="7.625" style="8" customWidth="1"/>
    <col min="7433" max="7677" width="9.625" style="8"/>
    <col min="7678" max="7678" width="20.375" style="8" customWidth="1"/>
    <col min="7679" max="7679" width="10.75" style="8" customWidth="1"/>
    <col min="7680" max="7684" width="11.375" style="8" customWidth="1"/>
    <col min="7685" max="7686" width="9.625" style="8"/>
    <col min="7687" max="7687" width="2.625" style="8" customWidth="1"/>
    <col min="7688" max="7688" width="7.625" style="8" customWidth="1"/>
    <col min="7689" max="7933" width="9.625" style="8"/>
    <col min="7934" max="7934" width="20.375" style="8" customWidth="1"/>
    <col min="7935" max="7935" width="10.75" style="8" customWidth="1"/>
    <col min="7936" max="7940" width="11.375" style="8" customWidth="1"/>
    <col min="7941" max="7942" width="9.625" style="8"/>
    <col min="7943" max="7943" width="2.625" style="8" customWidth="1"/>
    <col min="7944" max="7944" width="7.625" style="8" customWidth="1"/>
    <col min="7945" max="8189" width="9.625" style="8"/>
    <col min="8190" max="8190" width="20.375" style="8" customWidth="1"/>
    <col min="8191" max="8191" width="10.75" style="8" customWidth="1"/>
    <col min="8192" max="8196" width="11.375" style="8" customWidth="1"/>
    <col min="8197" max="8198" width="9.625" style="8"/>
    <col min="8199" max="8199" width="2.625" style="8" customWidth="1"/>
    <col min="8200" max="8200" width="7.625" style="8" customWidth="1"/>
    <col min="8201" max="8445" width="9.625" style="8"/>
    <col min="8446" max="8446" width="20.375" style="8" customWidth="1"/>
    <col min="8447" max="8447" width="10.75" style="8" customWidth="1"/>
    <col min="8448" max="8452" width="11.375" style="8" customWidth="1"/>
    <col min="8453" max="8454" width="9.625" style="8"/>
    <col min="8455" max="8455" width="2.625" style="8" customWidth="1"/>
    <col min="8456" max="8456" width="7.625" style="8" customWidth="1"/>
    <col min="8457" max="8701" width="9.625" style="8"/>
    <col min="8702" max="8702" width="20.375" style="8" customWidth="1"/>
    <col min="8703" max="8703" width="10.75" style="8" customWidth="1"/>
    <col min="8704" max="8708" width="11.375" style="8" customWidth="1"/>
    <col min="8709" max="8710" width="9.625" style="8"/>
    <col min="8711" max="8711" width="2.625" style="8" customWidth="1"/>
    <col min="8712" max="8712" width="7.625" style="8" customWidth="1"/>
    <col min="8713" max="8957" width="9.625" style="8"/>
    <col min="8958" max="8958" width="20.375" style="8" customWidth="1"/>
    <col min="8959" max="8959" width="10.75" style="8" customWidth="1"/>
    <col min="8960" max="8964" width="11.375" style="8" customWidth="1"/>
    <col min="8965" max="8966" width="9.625" style="8"/>
    <col min="8967" max="8967" width="2.625" style="8" customWidth="1"/>
    <col min="8968" max="8968" width="7.625" style="8" customWidth="1"/>
    <col min="8969" max="9213" width="9.625" style="8"/>
    <col min="9214" max="9214" width="20.375" style="8" customWidth="1"/>
    <col min="9215" max="9215" width="10.75" style="8" customWidth="1"/>
    <col min="9216" max="9220" width="11.375" style="8" customWidth="1"/>
    <col min="9221" max="9222" width="9.625" style="8"/>
    <col min="9223" max="9223" width="2.625" style="8" customWidth="1"/>
    <col min="9224" max="9224" width="7.625" style="8" customWidth="1"/>
    <col min="9225" max="9469" width="9.625" style="8"/>
    <col min="9470" max="9470" width="20.375" style="8" customWidth="1"/>
    <col min="9471" max="9471" width="10.75" style="8" customWidth="1"/>
    <col min="9472" max="9476" width="11.375" style="8" customWidth="1"/>
    <col min="9477" max="9478" width="9.625" style="8"/>
    <col min="9479" max="9479" width="2.625" style="8" customWidth="1"/>
    <col min="9480" max="9480" width="7.625" style="8" customWidth="1"/>
    <col min="9481" max="9725" width="9.625" style="8"/>
    <col min="9726" max="9726" width="20.375" style="8" customWidth="1"/>
    <col min="9727" max="9727" width="10.75" style="8" customWidth="1"/>
    <col min="9728" max="9732" width="11.375" style="8" customWidth="1"/>
    <col min="9733" max="9734" width="9.625" style="8"/>
    <col min="9735" max="9735" width="2.625" style="8" customWidth="1"/>
    <col min="9736" max="9736" width="7.625" style="8" customWidth="1"/>
    <col min="9737" max="9981" width="9.625" style="8"/>
    <col min="9982" max="9982" width="20.375" style="8" customWidth="1"/>
    <col min="9983" max="9983" width="10.75" style="8" customWidth="1"/>
    <col min="9984" max="9988" width="11.375" style="8" customWidth="1"/>
    <col min="9989" max="9990" width="9.625" style="8"/>
    <col min="9991" max="9991" width="2.625" style="8" customWidth="1"/>
    <col min="9992" max="9992" width="7.625" style="8" customWidth="1"/>
    <col min="9993" max="10237" width="9.625" style="8"/>
    <col min="10238" max="10238" width="20.375" style="8" customWidth="1"/>
    <col min="10239" max="10239" width="10.75" style="8" customWidth="1"/>
    <col min="10240" max="10244" width="11.375" style="8" customWidth="1"/>
    <col min="10245" max="10246" width="9.625" style="8"/>
    <col min="10247" max="10247" width="2.625" style="8" customWidth="1"/>
    <col min="10248" max="10248" width="7.625" style="8" customWidth="1"/>
    <col min="10249" max="10493" width="9.625" style="8"/>
    <col min="10494" max="10494" width="20.375" style="8" customWidth="1"/>
    <col min="10495" max="10495" width="10.75" style="8" customWidth="1"/>
    <col min="10496" max="10500" width="11.375" style="8" customWidth="1"/>
    <col min="10501" max="10502" width="9.625" style="8"/>
    <col min="10503" max="10503" width="2.625" style="8" customWidth="1"/>
    <col min="10504" max="10504" width="7.625" style="8" customWidth="1"/>
    <col min="10505" max="10749" width="9.625" style="8"/>
    <col min="10750" max="10750" width="20.375" style="8" customWidth="1"/>
    <col min="10751" max="10751" width="10.75" style="8" customWidth="1"/>
    <col min="10752" max="10756" width="11.375" style="8" customWidth="1"/>
    <col min="10757" max="10758" width="9.625" style="8"/>
    <col min="10759" max="10759" width="2.625" style="8" customWidth="1"/>
    <col min="10760" max="10760" width="7.625" style="8" customWidth="1"/>
    <col min="10761" max="11005" width="9.625" style="8"/>
    <col min="11006" max="11006" width="20.375" style="8" customWidth="1"/>
    <col min="11007" max="11007" width="10.75" style="8" customWidth="1"/>
    <col min="11008" max="11012" width="11.375" style="8" customWidth="1"/>
    <col min="11013" max="11014" width="9.625" style="8"/>
    <col min="11015" max="11015" width="2.625" style="8" customWidth="1"/>
    <col min="11016" max="11016" width="7.625" style="8" customWidth="1"/>
    <col min="11017" max="11261" width="9.625" style="8"/>
    <col min="11262" max="11262" width="20.375" style="8" customWidth="1"/>
    <col min="11263" max="11263" width="10.75" style="8" customWidth="1"/>
    <col min="11264" max="11268" width="11.375" style="8" customWidth="1"/>
    <col min="11269" max="11270" width="9.625" style="8"/>
    <col min="11271" max="11271" width="2.625" style="8" customWidth="1"/>
    <col min="11272" max="11272" width="7.625" style="8" customWidth="1"/>
    <col min="11273" max="11517" width="9.625" style="8"/>
    <col min="11518" max="11518" width="20.375" style="8" customWidth="1"/>
    <col min="11519" max="11519" width="10.75" style="8" customWidth="1"/>
    <col min="11520" max="11524" width="11.375" style="8" customWidth="1"/>
    <col min="11525" max="11526" width="9.625" style="8"/>
    <col min="11527" max="11527" width="2.625" style="8" customWidth="1"/>
    <col min="11528" max="11528" width="7.625" style="8" customWidth="1"/>
    <col min="11529" max="11773" width="9.625" style="8"/>
    <col min="11774" max="11774" width="20.375" style="8" customWidth="1"/>
    <col min="11775" max="11775" width="10.75" style="8" customWidth="1"/>
    <col min="11776" max="11780" width="11.375" style="8" customWidth="1"/>
    <col min="11781" max="11782" width="9.625" style="8"/>
    <col min="11783" max="11783" width="2.625" style="8" customWidth="1"/>
    <col min="11784" max="11784" width="7.625" style="8" customWidth="1"/>
    <col min="11785" max="12029" width="9.625" style="8"/>
    <col min="12030" max="12030" width="20.375" style="8" customWidth="1"/>
    <col min="12031" max="12031" width="10.75" style="8" customWidth="1"/>
    <col min="12032" max="12036" width="11.375" style="8" customWidth="1"/>
    <col min="12037" max="12038" width="9.625" style="8"/>
    <col min="12039" max="12039" width="2.625" style="8" customWidth="1"/>
    <col min="12040" max="12040" width="7.625" style="8" customWidth="1"/>
    <col min="12041" max="12285" width="9.625" style="8"/>
    <col min="12286" max="12286" width="20.375" style="8" customWidth="1"/>
    <col min="12287" max="12287" width="10.75" style="8" customWidth="1"/>
    <col min="12288" max="12292" width="11.375" style="8" customWidth="1"/>
    <col min="12293" max="12294" width="9.625" style="8"/>
    <col min="12295" max="12295" width="2.625" style="8" customWidth="1"/>
    <col min="12296" max="12296" width="7.625" style="8" customWidth="1"/>
    <col min="12297" max="12541" width="9.625" style="8"/>
    <col min="12542" max="12542" width="20.375" style="8" customWidth="1"/>
    <col min="12543" max="12543" width="10.75" style="8" customWidth="1"/>
    <col min="12544" max="12548" width="11.375" style="8" customWidth="1"/>
    <col min="12549" max="12550" width="9.625" style="8"/>
    <col min="12551" max="12551" width="2.625" style="8" customWidth="1"/>
    <col min="12552" max="12552" width="7.625" style="8" customWidth="1"/>
    <col min="12553" max="12797" width="9.625" style="8"/>
    <col min="12798" max="12798" width="20.375" style="8" customWidth="1"/>
    <col min="12799" max="12799" width="10.75" style="8" customWidth="1"/>
    <col min="12800" max="12804" width="11.375" style="8" customWidth="1"/>
    <col min="12805" max="12806" width="9.625" style="8"/>
    <col min="12807" max="12807" width="2.625" style="8" customWidth="1"/>
    <col min="12808" max="12808" width="7.625" style="8" customWidth="1"/>
    <col min="12809" max="13053" width="9.625" style="8"/>
    <col min="13054" max="13054" width="20.375" style="8" customWidth="1"/>
    <col min="13055" max="13055" width="10.75" style="8" customWidth="1"/>
    <col min="13056" max="13060" width="11.375" style="8" customWidth="1"/>
    <col min="13061" max="13062" width="9.625" style="8"/>
    <col min="13063" max="13063" width="2.625" style="8" customWidth="1"/>
    <col min="13064" max="13064" width="7.625" style="8" customWidth="1"/>
    <col min="13065" max="13309" width="9.625" style="8"/>
    <col min="13310" max="13310" width="20.375" style="8" customWidth="1"/>
    <col min="13311" max="13311" width="10.75" style="8" customWidth="1"/>
    <col min="13312" max="13316" width="11.375" style="8" customWidth="1"/>
    <col min="13317" max="13318" width="9.625" style="8"/>
    <col min="13319" max="13319" width="2.625" style="8" customWidth="1"/>
    <col min="13320" max="13320" width="7.625" style="8" customWidth="1"/>
    <col min="13321" max="13565" width="9.625" style="8"/>
    <col min="13566" max="13566" width="20.375" style="8" customWidth="1"/>
    <col min="13567" max="13567" width="10.75" style="8" customWidth="1"/>
    <col min="13568" max="13572" width="11.375" style="8" customWidth="1"/>
    <col min="13573" max="13574" width="9.625" style="8"/>
    <col min="13575" max="13575" width="2.625" style="8" customWidth="1"/>
    <col min="13576" max="13576" width="7.625" style="8" customWidth="1"/>
    <col min="13577" max="13821" width="9.625" style="8"/>
    <col min="13822" max="13822" width="20.375" style="8" customWidth="1"/>
    <col min="13823" max="13823" width="10.75" style="8" customWidth="1"/>
    <col min="13824" max="13828" width="11.375" style="8" customWidth="1"/>
    <col min="13829" max="13830" width="9.625" style="8"/>
    <col min="13831" max="13831" width="2.625" style="8" customWidth="1"/>
    <col min="13832" max="13832" width="7.625" style="8" customWidth="1"/>
    <col min="13833" max="14077" width="9.625" style="8"/>
    <col min="14078" max="14078" width="20.375" style="8" customWidth="1"/>
    <col min="14079" max="14079" width="10.75" style="8" customWidth="1"/>
    <col min="14080" max="14084" width="11.375" style="8" customWidth="1"/>
    <col min="14085" max="14086" width="9.625" style="8"/>
    <col min="14087" max="14087" width="2.625" style="8" customWidth="1"/>
    <col min="14088" max="14088" width="7.625" style="8" customWidth="1"/>
    <col min="14089" max="14333" width="9.625" style="8"/>
    <col min="14334" max="14334" width="20.375" style="8" customWidth="1"/>
    <col min="14335" max="14335" width="10.75" style="8" customWidth="1"/>
    <col min="14336" max="14340" width="11.375" style="8" customWidth="1"/>
    <col min="14341" max="14342" width="9.625" style="8"/>
    <col min="14343" max="14343" width="2.625" style="8" customWidth="1"/>
    <col min="14344" max="14344" width="7.625" style="8" customWidth="1"/>
    <col min="14345" max="14589" width="9.625" style="8"/>
    <col min="14590" max="14590" width="20.375" style="8" customWidth="1"/>
    <col min="14591" max="14591" width="10.75" style="8" customWidth="1"/>
    <col min="14592" max="14596" width="11.375" style="8" customWidth="1"/>
    <col min="14597" max="14598" width="9.625" style="8"/>
    <col min="14599" max="14599" width="2.625" style="8" customWidth="1"/>
    <col min="14600" max="14600" width="7.625" style="8" customWidth="1"/>
    <col min="14601" max="14845" width="9.625" style="8"/>
    <col min="14846" max="14846" width="20.375" style="8" customWidth="1"/>
    <col min="14847" max="14847" width="10.75" style="8" customWidth="1"/>
    <col min="14848" max="14852" width="11.375" style="8" customWidth="1"/>
    <col min="14853" max="14854" width="9.625" style="8"/>
    <col min="14855" max="14855" width="2.625" style="8" customWidth="1"/>
    <col min="14856" max="14856" width="7.625" style="8" customWidth="1"/>
    <col min="14857" max="15101" width="9.625" style="8"/>
    <col min="15102" max="15102" width="20.375" style="8" customWidth="1"/>
    <col min="15103" max="15103" width="10.75" style="8" customWidth="1"/>
    <col min="15104" max="15108" width="11.375" style="8" customWidth="1"/>
    <col min="15109" max="15110" width="9.625" style="8"/>
    <col min="15111" max="15111" width="2.625" style="8" customWidth="1"/>
    <col min="15112" max="15112" width="7.625" style="8" customWidth="1"/>
    <col min="15113" max="15357" width="9.625" style="8"/>
    <col min="15358" max="15358" width="20.375" style="8" customWidth="1"/>
    <col min="15359" max="15359" width="10.75" style="8" customWidth="1"/>
    <col min="15360" max="15364" width="11.375" style="8" customWidth="1"/>
    <col min="15365" max="15366" width="9.625" style="8"/>
    <col min="15367" max="15367" width="2.625" style="8" customWidth="1"/>
    <col min="15368" max="15368" width="7.625" style="8" customWidth="1"/>
    <col min="15369" max="15613" width="9.625" style="8"/>
    <col min="15614" max="15614" width="20.375" style="8" customWidth="1"/>
    <col min="15615" max="15615" width="10.75" style="8" customWidth="1"/>
    <col min="15616" max="15620" width="11.375" style="8" customWidth="1"/>
    <col min="15621" max="15622" width="9.625" style="8"/>
    <col min="15623" max="15623" width="2.625" style="8" customWidth="1"/>
    <col min="15624" max="15624" width="7.625" style="8" customWidth="1"/>
    <col min="15625" max="15869" width="9.625" style="8"/>
    <col min="15870" max="15870" width="20.375" style="8" customWidth="1"/>
    <col min="15871" max="15871" width="10.75" style="8" customWidth="1"/>
    <col min="15872" max="15876" width="11.375" style="8" customWidth="1"/>
    <col min="15877" max="15878" width="9.625" style="8"/>
    <col min="15879" max="15879" width="2.625" style="8" customWidth="1"/>
    <col min="15880" max="15880" width="7.625" style="8" customWidth="1"/>
    <col min="15881" max="16125" width="9.625" style="8"/>
    <col min="16126" max="16126" width="20.375" style="8" customWidth="1"/>
    <col min="16127" max="16127" width="10.75" style="8" customWidth="1"/>
    <col min="16128" max="16132" width="11.375" style="8" customWidth="1"/>
    <col min="16133" max="16134" width="9.625" style="8"/>
    <col min="16135" max="16135" width="2.625" style="8" customWidth="1"/>
    <col min="16136" max="16136" width="7.625" style="8" customWidth="1"/>
    <col min="16137" max="16384" width="9.625" style="8"/>
  </cols>
  <sheetData>
    <row r="1" spans="1:10" ht="17.25" customHeight="1" x14ac:dyDescent="0.2">
      <c r="A1" s="547" t="s">
        <v>330</v>
      </c>
      <c r="B1" s="548"/>
      <c r="C1" s="548"/>
      <c r="D1" s="548"/>
      <c r="E1" s="548"/>
      <c r="F1" s="548"/>
      <c r="G1" s="549"/>
      <c r="H1" s="577"/>
    </row>
    <row r="2" spans="1:10" ht="17.25" customHeight="1" x14ac:dyDescent="0.2">
      <c r="A2" s="550" t="s">
        <v>0</v>
      </c>
      <c r="B2" s="551" t="s">
        <v>248</v>
      </c>
      <c r="C2" s="551" t="s">
        <v>251</v>
      </c>
      <c r="D2" s="551" t="s">
        <v>262</v>
      </c>
      <c r="E2" s="551" t="s">
        <v>302</v>
      </c>
      <c r="F2" s="551" t="s">
        <v>350</v>
      </c>
      <c r="G2" s="536" t="s">
        <v>393</v>
      </c>
      <c r="H2" s="552" t="s">
        <v>472</v>
      </c>
    </row>
    <row r="3" spans="1:10" ht="15" customHeight="1" thickBot="1" x14ac:dyDescent="0.25">
      <c r="A3" s="553"/>
      <c r="B3" s="551"/>
      <c r="C3" s="551"/>
      <c r="D3" s="551"/>
      <c r="E3" s="551"/>
      <c r="F3" s="551"/>
      <c r="G3" s="536"/>
      <c r="H3" s="552" t="s">
        <v>351</v>
      </c>
    </row>
    <row r="4" spans="1:10" ht="13.7" customHeight="1" x14ac:dyDescent="0.2">
      <c r="A4" s="555" t="s">
        <v>461</v>
      </c>
      <c r="B4" s="276"/>
      <c r="C4" s="276"/>
      <c r="D4" s="276"/>
      <c r="E4" s="276"/>
      <c r="F4" s="277"/>
      <c r="G4" s="276"/>
      <c r="H4" s="554"/>
    </row>
    <row r="5" spans="1:10" ht="12" customHeight="1" x14ac:dyDescent="0.2">
      <c r="A5" s="555" t="s">
        <v>1</v>
      </c>
      <c r="B5" s="154"/>
      <c r="C5" s="154"/>
      <c r="E5" s="154" t="s">
        <v>18</v>
      </c>
      <c r="F5" s="556"/>
      <c r="G5" s="9"/>
      <c r="H5" s="554"/>
      <c r="J5" s="10"/>
    </row>
    <row r="6" spans="1:10" ht="13.15" customHeight="1" x14ac:dyDescent="0.2">
      <c r="A6" s="557"/>
      <c r="F6" s="556"/>
      <c r="G6" s="9"/>
      <c r="H6" s="554"/>
      <c r="J6" s="10"/>
    </row>
    <row r="7" spans="1:10" ht="13.7" customHeight="1" x14ac:dyDescent="0.2">
      <c r="A7" s="555" t="s">
        <v>3</v>
      </c>
      <c r="B7" s="537">
        <v>2.1960000000000002</v>
      </c>
      <c r="C7" s="537">
        <v>1.786</v>
      </c>
      <c r="D7" s="537">
        <v>2.331</v>
      </c>
      <c r="E7" s="537">
        <v>1.968</v>
      </c>
      <c r="F7" s="537">
        <v>1.806</v>
      </c>
      <c r="G7" s="537">
        <v>2.0630000000000002</v>
      </c>
      <c r="H7" s="558" t="s">
        <v>306</v>
      </c>
      <c r="J7" s="10"/>
    </row>
    <row r="8" spans="1:10" ht="13.7" customHeight="1" x14ac:dyDescent="0.2">
      <c r="A8" s="555" t="s">
        <v>4</v>
      </c>
      <c r="B8" s="537">
        <v>2.1739999999999999</v>
      </c>
      <c r="C8" s="537">
        <v>1.73</v>
      </c>
      <c r="D8" s="537">
        <v>2.2949999999999999</v>
      </c>
      <c r="E8" s="537">
        <v>1.927</v>
      </c>
      <c r="F8" s="537">
        <v>1.778</v>
      </c>
      <c r="G8" s="537">
        <v>2.0449999999999999</v>
      </c>
      <c r="H8" s="558" t="s">
        <v>306</v>
      </c>
    </row>
    <row r="9" spans="1:10" ht="11.45" customHeight="1" x14ac:dyDescent="0.2">
      <c r="A9" s="555" t="s">
        <v>1</v>
      </c>
      <c r="B9" s="538"/>
      <c r="C9" s="538"/>
      <c r="D9" s="538"/>
      <c r="E9" s="538"/>
      <c r="F9" s="538"/>
      <c r="G9" s="538"/>
      <c r="H9" s="559"/>
    </row>
    <row r="10" spans="1:10" ht="13.7" customHeight="1" x14ac:dyDescent="0.2">
      <c r="A10" s="555" t="s">
        <v>1</v>
      </c>
      <c r="B10" s="560"/>
      <c r="C10" s="560"/>
      <c r="E10" s="560" t="s">
        <v>19</v>
      </c>
      <c r="F10" s="538"/>
      <c r="G10" s="538"/>
      <c r="H10" s="559"/>
      <c r="J10" s="10"/>
    </row>
    <row r="11" spans="1:10" ht="10.9" customHeight="1" x14ac:dyDescent="0.2">
      <c r="A11" s="557"/>
      <c r="B11" s="538"/>
      <c r="C11" s="538"/>
      <c r="D11" s="538"/>
      <c r="E11" s="538"/>
      <c r="F11" s="538"/>
      <c r="G11" s="538"/>
      <c r="H11" s="559"/>
      <c r="J11" s="10"/>
    </row>
    <row r="12" spans="1:10" ht="12.75" customHeight="1" x14ac:dyDescent="0.2">
      <c r="A12" s="555" t="s">
        <v>5</v>
      </c>
      <c r="B12" s="11">
        <v>7518</v>
      </c>
      <c r="C12" s="11">
        <v>7261</v>
      </c>
      <c r="D12" s="11">
        <v>7422</v>
      </c>
      <c r="E12" s="11">
        <f>E17/E8*100</f>
        <v>7470.7317073170743</v>
      </c>
      <c r="F12" s="11">
        <f>F17/F8*100</f>
        <v>7225.0281214848146</v>
      </c>
      <c r="G12" s="11">
        <f>G17/G8*100</f>
        <v>7524.2542787286066</v>
      </c>
      <c r="H12" s="558" t="s">
        <v>306</v>
      </c>
    </row>
    <row r="13" spans="1:10" ht="10.15" customHeight="1" x14ac:dyDescent="0.2">
      <c r="A13" s="557"/>
      <c r="G13" s="9"/>
      <c r="H13" s="554"/>
    </row>
    <row r="14" spans="1:10" ht="13.7" customHeight="1" x14ac:dyDescent="0.2">
      <c r="A14" s="555" t="s">
        <v>1</v>
      </c>
      <c r="B14" s="560"/>
      <c r="C14" s="560"/>
      <c r="E14" s="560" t="s">
        <v>20</v>
      </c>
      <c r="G14" s="9"/>
      <c r="H14" s="554"/>
    </row>
    <row r="15" spans="1:10" ht="11.45" customHeight="1" x14ac:dyDescent="0.2">
      <c r="A15" s="555" t="s">
        <v>1</v>
      </c>
      <c r="G15" s="9"/>
      <c r="H15" s="554"/>
    </row>
    <row r="16" spans="1:10" ht="13.7" customHeight="1" x14ac:dyDescent="0.2">
      <c r="A16" s="555" t="s">
        <v>6</v>
      </c>
      <c r="B16" s="9">
        <v>20.325000000000017</v>
      </c>
      <c r="C16" s="9">
        <f t="shared" ref="C16" si="0">B25</f>
        <v>32.605999999999995</v>
      </c>
      <c r="D16" s="9">
        <f t="shared" ref="D16" si="1">C25</f>
        <v>16.920999999999999</v>
      </c>
      <c r="E16" s="9">
        <f t="shared" ref="E16" si="2">D25</f>
        <v>29.730000000000018</v>
      </c>
      <c r="F16" s="9">
        <f t="shared" ref="F16" si="3">E25</f>
        <v>24.64100000000002</v>
      </c>
      <c r="G16" s="9">
        <f t="shared" ref="G16" si="4">F25</f>
        <v>21.177000000000021</v>
      </c>
      <c r="H16" s="554">
        <f t="shared" ref="H16" si="5">G25</f>
        <v>17.04800000000003</v>
      </c>
      <c r="J16" s="10"/>
    </row>
    <row r="17" spans="1:10" ht="13.7" customHeight="1" x14ac:dyDescent="0.2">
      <c r="A17" s="555" t="s">
        <v>7</v>
      </c>
      <c r="B17" s="9">
        <v>163.434</v>
      </c>
      <c r="C17" s="9">
        <v>125.60899999999999</v>
      </c>
      <c r="D17" s="9">
        <v>170.33799999999999</v>
      </c>
      <c r="E17" s="9">
        <v>143.96100000000001</v>
      </c>
      <c r="F17" s="539">
        <v>128.46100000000001</v>
      </c>
      <c r="G17" s="539">
        <v>153.87100000000001</v>
      </c>
      <c r="H17" s="561">
        <v>169.3</v>
      </c>
      <c r="J17" s="10"/>
    </row>
    <row r="18" spans="1:10" ht="13.7" customHeight="1" x14ac:dyDescent="0.2">
      <c r="A18" s="555" t="s">
        <v>8</v>
      </c>
      <c r="B18" s="9">
        <v>23.428000000000001</v>
      </c>
      <c r="C18" s="9">
        <v>29.762</v>
      </c>
      <c r="D18" s="9">
        <v>27.358000000000001</v>
      </c>
      <c r="E18" s="9">
        <v>30.67</v>
      </c>
      <c r="F18" s="9">
        <v>31.902999999999999</v>
      </c>
      <c r="G18" s="9">
        <v>36</v>
      </c>
      <c r="H18" s="554">
        <v>37</v>
      </c>
      <c r="J18" s="10"/>
    </row>
    <row r="19" spans="1:10" ht="13.7" customHeight="1" x14ac:dyDescent="0.2">
      <c r="A19" s="555" t="s">
        <v>9</v>
      </c>
      <c r="B19" s="9">
        <v>207.18700000000001</v>
      </c>
      <c r="C19" s="9">
        <f t="shared" ref="C19:F19" si="6">C16+C17+C18</f>
        <v>187.97699999999998</v>
      </c>
      <c r="D19" s="9">
        <f t="shared" si="6"/>
        <v>214.61699999999999</v>
      </c>
      <c r="E19" s="9">
        <f t="shared" si="6"/>
        <v>204.36100000000005</v>
      </c>
      <c r="F19" s="9">
        <f t="shared" si="6"/>
        <v>185.00500000000002</v>
      </c>
      <c r="G19" s="9">
        <f t="shared" ref="G19:H19" si="7">G16+G17+G18</f>
        <v>211.04800000000003</v>
      </c>
      <c r="H19" s="554">
        <f t="shared" si="7"/>
        <v>223.34800000000004</v>
      </c>
    </row>
    <row r="20" spans="1:10" ht="7.15" customHeight="1" x14ac:dyDescent="0.2">
      <c r="A20" s="555" t="s">
        <v>1</v>
      </c>
      <c r="G20" s="9"/>
      <c r="H20" s="554"/>
      <c r="J20" s="10"/>
    </row>
    <row r="21" spans="1:10" ht="13.7" customHeight="1" x14ac:dyDescent="0.2">
      <c r="A21" s="555" t="s">
        <v>33</v>
      </c>
      <c r="B21" s="9">
        <v>108.339</v>
      </c>
      <c r="C21" s="9">
        <v>106.286</v>
      </c>
      <c r="D21" s="9">
        <v>119.84299999999998</v>
      </c>
      <c r="E21" s="9">
        <v>117.71700000000001</v>
      </c>
      <c r="F21" s="9">
        <v>113.99600000000001</v>
      </c>
      <c r="G21" s="9">
        <v>120</v>
      </c>
      <c r="H21" s="554">
        <v>123</v>
      </c>
      <c r="J21" s="10"/>
    </row>
    <row r="22" spans="1:10" ht="13.7" customHeight="1" x14ac:dyDescent="0.2">
      <c r="A22" s="555" t="s">
        <v>13</v>
      </c>
      <c r="B22" s="9">
        <v>66.242000000000004</v>
      </c>
      <c r="C22" s="9">
        <v>64.77</v>
      </c>
      <c r="D22" s="9">
        <v>65.043999999999997</v>
      </c>
      <c r="E22" s="9">
        <v>62.003</v>
      </c>
      <c r="F22" s="9">
        <v>49.832000000000001</v>
      </c>
      <c r="G22" s="9">
        <v>74</v>
      </c>
      <c r="H22" s="554">
        <v>75</v>
      </c>
      <c r="J22" s="10"/>
    </row>
    <row r="23" spans="1:10" ht="13.7" customHeight="1" x14ac:dyDescent="0.2">
      <c r="A23" s="555" t="s">
        <v>34</v>
      </c>
      <c r="B23" s="9">
        <v>174.58100000000002</v>
      </c>
      <c r="C23" s="9">
        <f t="shared" ref="C23:F23" si="8">C21+C22</f>
        <v>171.05599999999998</v>
      </c>
      <c r="D23" s="9">
        <f t="shared" si="8"/>
        <v>184.88699999999997</v>
      </c>
      <c r="E23" s="9">
        <f t="shared" si="8"/>
        <v>179.72000000000003</v>
      </c>
      <c r="F23" s="9">
        <f t="shared" si="8"/>
        <v>163.828</v>
      </c>
      <c r="G23" s="9">
        <f t="shared" ref="G23:H23" si="9">G21+G22</f>
        <v>194</v>
      </c>
      <c r="H23" s="554">
        <f t="shared" si="9"/>
        <v>198</v>
      </c>
    </row>
    <row r="24" spans="1:10" ht="6" customHeight="1" x14ac:dyDescent="0.2">
      <c r="A24" s="555" t="s">
        <v>1</v>
      </c>
      <c r="G24" s="9"/>
      <c r="H24" s="554"/>
      <c r="J24" s="10"/>
    </row>
    <row r="25" spans="1:10" ht="13.7" customHeight="1" x14ac:dyDescent="0.2">
      <c r="A25" s="555" t="s">
        <v>16</v>
      </c>
      <c r="B25" s="9">
        <v>32.605999999999995</v>
      </c>
      <c r="C25" s="9">
        <v>16.920999999999999</v>
      </c>
      <c r="D25" s="9">
        <f>D19-D23</f>
        <v>29.730000000000018</v>
      </c>
      <c r="E25" s="9">
        <f>E19-E23</f>
        <v>24.64100000000002</v>
      </c>
      <c r="F25" s="9">
        <f>F19-F23</f>
        <v>21.177000000000021</v>
      </c>
      <c r="G25" s="9">
        <f>G19-G23</f>
        <v>17.04800000000003</v>
      </c>
      <c r="H25" s="554">
        <f>H19-H23</f>
        <v>25.348000000000042</v>
      </c>
    </row>
    <row r="26" spans="1:10" ht="6.75" customHeight="1" x14ac:dyDescent="0.2">
      <c r="A26" s="555" t="s">
        <v>1</v>
      </c>
      <c r="G26" s="9"/>
      <c r="H26" s="554"/>
    </row>
    <row r="27" spans="1:10" ht="13.7" customHeight="1" x14ac:dyDescent="0.2">
      <c r="A27" s="555" t="s">
        <v>1</v>
      </c>
      <c r="B27" s="560"/>
      <c r="C27" s="560"/>
      <c r="E27" s="560" t="s">
        <v>21</v>
      </c>
      <c r="G27" s="9"/>
      <c r="H27" s="554"/>
      <c r="J27" s="10"/>
    </row>
    <row r="28" spans="1:10" ht="6" customHeight="1" x14ac:dyDescent="0.2">
      <c r="A28" s="557"/>
      <c r="G28" s="9"/>
      <c r="H28" s="554"/>
      <c r="J28" s="10"/>
    </row>
    <row r="29" spans="1:10" ht="13.7" customHeight="1" x14ac:dyDescent="0.2">
      <c r="A29" s="562" t="s">
        <v>17</v>
      </c>
      <c r="B29" s="10">
        <v>18.676717397654951</v>
      </c>
      <c r="C29" s="10">
        <f t="shared" ref="C29:F29" si="10">C25/C23*100</f>
        <v>9.8920821251519975</v>
      </c>
      <c r="D29" s="10">
        <f t="shared" si="10"/>
        <v>16.080092164403133</v>
      </c>
      <c r="E29" s="10">
        <f t="shared" si="10"/>
        <v>13.710772312486096</v>
      </c>
      <c r="F29" s="10">
        <f t="shared" si="10"/>
        <v>12.926361794076726</v>
      </c>
      <c r="G29" s="10">
        <f t="shared" ref="G29:H29" si="11">G25/G23*100</f>
        <v>8.7876288659793964</v>
      </c>
      <c r="H29" s="563">
        <f t="shared" si="11"/>
        <v>12.802020202020223</v>
      </c>
    </row>
    <row r="30" spans="1:10" ht="7.5" customHeight="1" x14ac:dyDescent="0.2">
      <c r="A30" s="555"/>
      <c r="G30" s="9"/>
      <c r="H30" s="554"/>
    </row>
    <row r="31" spans="1:10" ht="12" customHeight="1" x14ac:dyDescent="0.2">
      <c r="A31" s="555"/>
      <c r="B31" s="564"/>
      <c r="C31" s="564"/>
      <c r="E31" s="564" t="s">
        <v>460</v>
      </c>
      <c r="G31" s="9"/>
      <c r="H31" s="554"/>
    </row>
    <row r="32" spans="1:10" ht="11.25" customHeight="1" x14ac:dyDescent="0.2">
      <c r="A32" s="555"/>
      <c r="B32" s="540"/>
      <c r="C32" s="540"/>
      <c r="D32" s="540"/>
      <c r="E32" s="540"/>
      <c r="F32" s="540"/>
      <c r="G32" s="540"/>
      <c r="H32" s="565"/>
    </row>
    <row r="33" spans="1:10" ht="12.75" customHeight="1" x14ac:dyDescent="0.2">
      <c r="A33" s="555" t="s">
        <v>35</v>
      </c>
      <c r="B33" s="541">
        <v>10.8</v>
      </c>
      <c r="C33" s="541">
        <v>12</v>
      </c>
      <c r="D33" s="541">
        <v>12.6</v>
      </c>
      <c r="E33" s="541">
        <v>13.6</v>
      </c>
      <c r="F33" s="541">
        <v>16.7</v>
      </c>
      <c r="G33" s="541">
        <v>16.100000000000001</v>
      </c>
      <c r="H33" s="566">
        <v>14.5</v>
      </c>
    </row>
    <row r="34" spans="1:10" ht="11.25" customHeight="1" x14ac:dyDescent="0.2">
      <c r="A34" s="555"/>
      <c r="B34" s="542"/>
      <c r="C34" s="542"/>
      <c r="D34" s="542"/>
      <c r="E34" s="542"/>
      <c r="F34" s="542"/>
      <c r="G34" s="542"/>
      <c r="H34" s="567"/>
    </row>
    <row r="35" spans="1:10" ht="7.5" customHeight="1" x14ac:dyDescent="0.2">
      <c r="A35" s="555"/>
      <c r="G35" s="9"/>
      <c r="H35" s="554"/>
    </row>
    <row r="36" spans="1:10" ht="12" customHeight="1" x14ac:dyDescent="0.2">
      <c r="A36" s="562" t="s">
        <v>462</v>
      </c>
      <c r="B36" s="560"/>
      <c r="C36" s="560"/>
      <c r="E36" s="560" t="s">
        <v>18</v>
      </c>
      <c r="G36" s="9"/>
      <c r="H36" s="554"/>
    </row>
    <row r="37" spans="1:10" ht="13.7" customHeight="1" x14ac:dyDescent="0.2">
      <c r="A37" s="557"/>
      <c r="B37" s="543"/>
      <c r="C37" s="543"/>
      <c r="D37" s="543"/>
      <c r="E37" s="543"/>
      <c r="F37" s="543"/>
      <c r="G37" s="543"/>
      <c r="H37" s="568"/>
      <c r="J37" s="10"/>
    </row>
    <row r="38" spans="1:10" ht="13.7" customHeight="1" x14ac:dyDescent="0.2">
      <c r="A38" s="555" t="s">
        <v>3</v>
      </c>
      <c r="B38" s="537">
        <v>0.74899999999999967</v>
      </c>
      <c r="C38" s="537">
        <v>0.76500000000000012</v>
      </c>
      <c r="D38" s="537">
        <v>0.70199999999999996</v>
      </c>
      <c r="E38" s="537">
        <v>0.56300000000000017</v>
      </c>
      <c r="F38" s="537">
        <v>0.41299999999999981</v>
      </c>
      <c r="G38" s="537">
        <v>0.83099999999999996</v>
      </c>
      <c r="H38" s="558" t="s">
        <v>306</v>
      </c>
      <c r="J38" s="10"/>
    </row>
    <row r="39" spans="1:10" ht="13.7" customHeight="1" x14ac:dyDescent="0.2">
      <c r="A39" s="555" t="s">
        <v>4</v>
      </c>
      <c r="B39" s="537">
        <v>0.73499999999999988</v>
      </c>
      <c r="C39" s="537">
        <v>0.74500000000000011</v>
      </c>
      <c r="D39" s="537">
        <v>0.68300000000000027</v>
      </c>
      <c r="E39" s="537">
        <v>0.55100000000000016</v>
      </c>
      <c r="F39" s="537">
        <v>0.38899999999999979</v>
      </c>
      <c r="G39" s="537">
        <v>0.80900000000000005</v>
      </c>
      <c r="H39" s="558" t="s">
        <v>306</v>
      </c>
    </row>
    <row r="40" spans="1:10" ht="6" customHeight="1" x14ac:dyDescent="0.2">
      <c r="A40" s="555" t="s">
        <v>1</v>
      </c>
      <c r="B40" s="538"/>
      <c r="C40" s="538"/>
      <c r="D40" s="538"/>
      <c r="E40" s="538"/>
      <c r="F40" s="538"/>
      <c r="G40" s="538"/>
      <c r="H40" s="559"/>
    </row>
    <row r="41" spans="1:10" ht="13.7" customHeight="1" x14ac:dyDescent="0.2">
      <c r="A41" s="555" t="s">
        <v>1</v>
      </c>
      <c r="B41" s="560"/>
      <c r="C41" s="560"/>
      <c r="E41" s="560" t="s">
        <v>19</v>
      </c>
      <c r="F41" s="538"/>
      <c r="G41" s="538"/>
      <c r="H41" s="559"/>
    </row>
    <row r="42" spans="1:10" ht="4.5" customHeight="1" x14ac:dyDescent="0.2">
      <c r="A42" s="557"/>
      <c r="B42" s="538"/>
      <c r="C42" s="538"/>
      <c r="D42" s="538"/>
      <c r="E42" s="538"/>
      <c r="F42" s="538"/>
      <c r="G42" s="538"/>
      <c r="H42" s="559"/>
    </row>
    <row r="43" spans="1:10" ht="13.7" customHeight="1" x14ac:dyDescent="0.2">
      <c r="A43" s="555" t="s">
        <v>5</v>
      </c>
      <c r="B43" s="11">
        <v>8207.7551020408173</v>
      </c>
      <c r="C43" s="11">
        <f t="shared" ref="C43:G43" si="12">C48/C39*100</f>
        <v>7968.7248322147643</v>
      </c>
      <c r="D43" s="11">
        <f t="shared" si="12"/>
        <v>8284.9194729136143</v>
      </c>
      <c r="E43" s="11">
        <f t="shared" si="12"/>
        <v>8546.4609800362923</v>
      </c>
      <c r="F43" s="11">
        <f t="shared" si="12"/>
        <v>8118.2519280205652</v>
      </c>
      <c r="G43" s="11">
        <f t="shared" si="12"/>
        <v>7962.9171817058095</v>
      </c>
      <c r="H43" s="558" t="s">
        <v>306</v>
      </c>
    </row>
    <row r="44" spans="1:10" ht="4.5" customHeight="1" x14ac:dyDescent="0.2">
      <c r="A44" s="555" t="s">
        <v>1</v>
      </c>
      <c r="B44" s="542"/>
      <c r="C44" s="542"/>
      <c r="D44" s="542"/>
      <c r="E44" s="542"/>
      <c r="F44" s="542"/>
      <c r="G44" s="542"/>
      <c r="H44" s="567"/>
    </row>
    <row r="45" spans="1:10" ht="13.7" customHeight="1" x14ac:dyDescent="0.2">
      <c r="A45" s="555" t="s">
        <v>1</v>
      </c>
      <c r="B45" s="8"/>
      <c r="C45" s="560"/>
      <c r="E45" s="560" t="s">
        <v>20</v>
      </c>
      <c r="G45" s="9"/>
      <c r="H45" s="554"/>
    </row>
    <row r="46" spans="1:10" ht="6" customHeight="1" x14ac:dyDescent="0.2">
      <c r="A46" s="557"/>
      <c r="G46" s="9"/>
      <c r="H46" s="554"/>
    </row>
    <row r="47" spans="1:10" ht="13.7" customHeight="1" x14ac:dyDescent="0.2">
      <c r="A47" s="555" t="s">
        <v>6</v>
      </c>
      <c r="B47" s="9">
        <v>7.6429999999999998</v>
      </c>
      <c r="C47" s="9">
        <f t="shared" ref="C47" si="13">B56</f>
        <v>10.183999999999999</v>
      </c>
      <c r="D47" s="9">
        <f t="shared" ref="D47" si="14">C56</f>
        <v>10.714</v>
      </c>
      <c r="E47" s="9">
        <f t="shared" ref="E47" si="15">D56</f>
        <v>11.452999999999999</v>
      </c>
      <c r="F47" s="9">
        <f t="shared" ref="F47" si="16">E56</f>
        <v>13.04</v>
      </c>
      <c r="G47" s="9">
        <f t="shared" ref="G47" si="17">F56</f>
        <v>6.7949999999999999</v>
      </c>
      <c r="H47" s="554">
        <f t="shared" ref="H47" si="18">G56</f>
        <v>20.515000000000001</v>
      </c>
      <c r="J47" s="10"/>
    </row>
    <row r="48" spans="1:10" ht="13.7" customHeight="1" x14ac:dyDescent="0.2">
      <c r="A48" s="555" t="s">
        <v>7</v>
      </c>
      <c r="B48" s="542">
        <v>60.326999999999998</v>
      </c>
      <c r="C48" s="542">
        <v>59.367000000000004</v>
      </c>
      <c r="D48" s="542">
        <v>56.586000000000013</v>
      </c>
      <c r="E48" s="542">
        <v>47.09099999999998</v>
      </c>
      <c r="F48" s="544">
        <v>31.579999999999984</v>
      </c>
      <c r="G48" s="544">
        <v>64.42</v>
      </c>
      <c r="H48" s="569">
        <v>50.9</v>
      </c>
      <c r="J48" s="10"/>
    </row>
    <row r="49" spans="1:10" ht="13.7" customHeight="1" x14ac:dyDescent="0.2">
      <c r="A49" s="555" t="s">
        <v>8</v>
      </c>
      <c r="B49" s="544">
        <v>5.5570000000000004</v>
      </c>
      <c r="C49" s="542">
        <v>7.5869999999999997</v>
      </c>
      <c r="D49" s="542">
        <v>6.7149999999999999</v>
      </c>
      <c r="E49" s="542">
        <v>7.0970000000000004</v>
      </c>
      <c r="F49" s="542">
        <v>8.0090000000000003</v>
      </c>
      <c r="G49" s="542">
        <v>7.3</v>
      </c>
      <c r="H49" s="567">
        <v>7.5</v>
      </c>
    </row>
    <row r="50" spans="1:10" ht="13.7" customHeight="1" x14ac:dyDescent="0.2">
      <c r="A50" s="555" t="s">
        <v>36</v>
      </c>
      <c r="B50" s="542">
        <v>72.878</v>
      </c>
      <c r="C50" s="542">
        <v>78.171999999999997</v>
      </c>
      <c r="D50" s="542">
        <v>72.548000000000002</v>
      </c>
      <c r="E50" s="542">
        <v>66.090999999999994</v>
      </c>
      <c r="F50" s="542">
        <v>52.389000000000003</v>
      </c>
      <c r="G50" s="542">
        <v>78.515000000000001</v>
      </c>
      <c r="H50" s="567">
        <v>78.915000000000006</v>
      </c>
    </row>
    <row r="51" spans="1:10" ht="5.25" customHeight="1" x14ac:dyDescent="0.2">
      <c r="A51" s="555" t="s">
        <v>1</v>
      </c>
      <c r="G51" s="9"/>
      <c r="H51" s="554"/>
    </row>
    <row r="52" spans="1:10" ht="13.7" customHeight="1" x14ac:dyDescent="0.2">
      <c r="A52" s="555" t="s">
        <v>37</v>
      </c>
      <c r="B52" s="9">
        <v>35.738</v>
      </c>
      <c r="C52" s="9">
        <v>38.029999999999973</v>
      </c>
      <c r="D52" s="9">
        <v>32.634</v>
      </c>
      <c r="E52" s="9">
        <v>31.581000000000017</v>
      </c>
      <c r="F52" s="9">
        <v>31.10299999999998</v>
      </c>
      <c r="G52" s="9">
        <v>37</v>
      </c>
      <c r="H52" s="554">
        <v>37</v>
      </c>
      <c r="J52" s="12"/>
    </row>
    <row r="53" spans="1:10" ht="13.7" customHeight="1" x14ac:dyDescent="0.2">
      <c r="A53" s="555" t="s">
        <v>13</v>
      </c>
      <c r="B53" s="9">
        <v>26.956999999999994</v>
      </c>
      <c r="C53" s="9">
        <v>29.428000000000011</v>
      </c>
      <c r="D53" s="9">
        <v>28.462000000000003</v>
      </c>
      <c r="E53" s="9">
        <v>21.47</v>
      </c>
      <c r="F53" s="9">
        <v>14.490000000000002</v>
      </c>
      <c r="G53" s="9">
        <v>21</v>
      </c>
      <c r="H53" s="554">
        <v>25</v>
      </c>
    </row>
    <row r="54" spans="1:10" ht="13.7" customHeight="1" x14ac:dyDescent="0.2">
      <c r="A54" s="555" t="s">
        <v>34</v>
      </c>
      <c r="B54" s="9">
        <v>62.694999999999993</v>
      </c>
      <c r="C54" s="9">
        <f t="shared" ref="C54:E54" si="19">C52+C53</f>
        <v>67.457999999999984</v>
      </c>
      <c r="D54" s="9">
        <f t="shared" si="19"/>
        <v>61.096000000000004</v>
      </c>
      <c r="E54" s="9">
        <f t="shared" si="19"/>
        <v>53.051000000000016</v>
      </c>
      <c r="F54" s="9">
        <f>F52+F53</f>
        <v>45.592999999999982</v>
      </c>
      <c r="G54" s="9">
        <f>G52+G53</f>
        <v>58</v>
      </c>
      <c r="H54" s="554">
        <f>H52+H53</f>
        <v>62</v>
      </c>
      <c r="J54" s="12"/>
    </row>
    <row r="55" spans="1:10" ht="6" customHeight="1" x14ac:dyDescent="0.2">
      <c r="A55" s="555" t="s">
        <v>1</v>
      </c>
      <c r="G55" s="9"/>
      <c r="H55" s="554"/>
    </row>
    <row r="56" spans="1:10" ht="13.7" customHeight="1" x14ac:dyDescent="0.2">
      <c r="A56" s="555" t="s">
        <v>16</v>
      </c>
      <c r="B56" s="10">
        <v>10.183999999999999</v>
      </c>
      <c r="C56" s="10">
        <v>10.714</v>
      </c>
      <c r="D56" s="10">
        <v>11.452999999999999</v>
      </c>
      <c r="E56" s="10">
        <v>13.04</v>
      </c>
      <c r="F56" s="10">
        <v>6.7949999999999999</v>
      </c>
      <c r="G56" s="10">
        <f>G50-G54</f>
        <v>20.515000000000001</v>
      </c>
      <c r="H56" s="563">
        <f>H50-H54</f>
        <v>16.915000000000006</v>
      </c>
    </row>
    <row r="57" spans="1:10" ht="6" customHeight="1" x14ac:dyDescent="0.2">
      <c r="A57" s="557"/>
      <c r="G57" s="9"/>
      <c r="H57" s="554"/>
    </row>
    <row r="58" spans="1:10" ht="13.5" customHeight="1" x14ac:dyDescent="0.2">
      <c r="A58" s="555" t="s">
        <v>1</v>
      </c>
      <c r="B58" s="8"/>
      <c r="C58" s="560"/>
      <c r="E58" s="560" t="s">
        <v>21</v>
      </c>
      <c r="G58" s="9"/>
      <c r="H58" s="554"/>
    </row>
    <row r="59" spans="1:10" ht="5.25" customHeight="1" x14ac:dyDescent="0.2">
      <c r="A59" s="557"/>
      <c r="G59" s="9"/>
      <c r="H59" s="554"/>
    </row>
    <row r="60" spans="1:10" ht="13.7" customHeight="1" x14ac:dyDescent="0.2">
      <c r="A60" s="562" t="s">
        <v>17</v>
      </c>
      <c r="B60" s="10">
        <v>16.243719594864025</v>
      </c>
      <c r="C60" s="10">
        <f t="shared" ref="C60:G60" si="20">C56/C54*100</f>
        <v>15.88247502149486</v>
      </c>
      <c r="D60" s="10">
        <f t="shared" si="20"/>
        <v>18.745908079088643</v>
      </c>
      <c r="E60" s="10">
        <f t="shared" si="20"/>
        <v>24.580121015626464</v>
      </c>
      <c r="F60" s="10">
        <f t="shared" si="20"/>
        <v>14.903603623363241</v>
      </c>
      <c r="G60" s="10">
        <f t="shared" si="20"/>
        <v>35.370689655172413</v>
      </c>
      <c r="H60" s="563">
        <f t="shared" ref="H60" si="21">H56/H54*100</f>
        <v>27.282258064516142</v>
      </c>
    </row>
    <row r="61" spans="1:10" ht="13.7" customHeight="1" x14ac:dyDescent="0.2">
      <c r="A61" s="562"/>
      <c r="B61" s="10"/>
      <c r="C61" s="10"/>
      <c r="D61" s="10"/>
      <c r="E61" s="10"/>
      <c r="F61" s="10"/>
      <c r="G61" s="10"/>
      <c r="H61" s="563"/>
    </row>
    <row r="62" spans="1:10" ht="13.7" customHeight="1" x14ac:dyDescent="0.2">
      <c r="A62" s="562"/>
      <c r="B62" s="10"/>
      <c r="C62" s="570"/>
      <c r="E62" s="570" t="s">
        <v>447</v>
      </c>
      <c r="F62" s="10"/>
      <c r="G62" s="10"/>
      <c r="H62" s="563"/>
    </row>
    <row r="63" spans="1:10" ht="13.7" customHeight="1" x14ac:dyDescent="0.2">
      <c r="A63" s="555" t="s">
        <v>38</v>
      </c>
      <c r="B63" s="545"/>
      <c r="C63" s="545"/>
      <c r="D63" s="545"/>
      <c r="E63" s="545"/>
      <c r="F63" s="545"/>
      <c r="G63" s="545"/>
      <c r="H63" s="571"/>
    </row>
    <row r="64" spans="1:10" ht="13.7" customHeight="1" x14ac:dyDescent="0.2">
      <c r="A64" s="555" t="s">
        <v>39</v>
      </c>
      <c r="B64" s="540">
        <v>18.5</v>
      </c>
      <c r="C64" s="540">
        <v>18.2</v>
      </c>
      <c r="D64" s="540">
        <v>20.100000000000001</v>
      </c>
      <c r="E64" s="540">
        <v>26.4</v>
      </c>
      <c r="F64" s="540">
        <v>33.799999999999997</v>
      </c>
      <c r="G64" s="540">
        <v>25</v>
      </c>
      <c r="H64" s="565">
        <v>19.8</v>
      </c>
    </row>
    <row r="65" spans="1:10" ht="13.7" customHeight="1" x14ac:dyDescent="0.2">
      <c r="A65" s="555"/>
      <c r="B65" s="540"/>
      <c r="C65" s="540"/>
      <c r="D65" s="540"/>
      <c r="E65" s="540"/>
      <c r="F65" s="540"/>
      <c r="G65" s="540"/>
      <c r="H65" s="565"/>
    </row>
    <row r="66" spans="1:10" ht="13.7" customHeight="1" x14ac:dyDescent="0.2">
      <c r="A66" s="555" t="s">
        <v>40</v>
      </c>
      <c r="B66" s="540">
        <v>21.1</v>
      </c>
      <c r="C66" s="540">
        <v>21.6</v>
      </c>
      <c r="D66" s="540">
        <v>22.6</v>
      </c>
      <c r="E66" s="540">
        <v>31.9</v>
      </c>
      <c r="F66" s="540">
        <v>40.9</v>
      </c>
      <c r="G66" s="540">
        <v>29</v>
      </c>
      <c r="H66" s="565">
        <v>22</v>
      </c>
    </row>
    <row r="67" spans="1:10" ht="13.7" customHeight="1" x14ac:dyDescent="0.2">
      <c r="A67" s="555"/>
      <c r="B67" s="540"/>
      <c r="C67" s="540"/>
      <c r="D67" s="540"/>
      <c r="E67" s="540"/>
      <c r="F67" s="540"/>
      <c r="G67" s="540"/>
      <c r="H67" s="565"/>
    </row>
    <row r="68" spans="1:10" ht="13.7" customHeight="1" x14ac:dyDescent="0.2">
      <c r="A68" s="562" t="s">
        <v>41</v>
      </c>
      <c r="B68" s="540">
        <v>12.3</v>
      </c>
      <c r="C68" s="540">
        <v>11.6</v>
      </c>
      <c r="D68" s="540">
        <v>13</v>
      </c>
      <c r="E68" s="540">
        <v>13.9</v>
      </c>
      <c r="F68" s="540">
        <v>18.2</v>
      </c>
      <c r="G68" s="540">
        <v>17.899999999999999</v>
      </c>
      <c r="H68" s="565">
        <v>15</v>
      </c>
    </row>
    <row r="69" spans="1:10" ht="10.5" customHeight="1" x14ac:dyDescent="0.2">
      <c r="A69" s="562"/>
      <c r="B69" s="546"/>
      <c r="C69" s="546"/>
      <c r="D69" s="546"/>
      <c r="E69" s="546"/>
      <c r="F69" s="546"/>
      <c r="G69" s="546"/>
      <c r="H69" s="572"/>
    </row>
    <row r="70" spans="1:10" ht="10.5" customHeight="1" x14ac:dyDescent="0.2">
      <c r="A70" s="555" t="s">
        <v>16</v>
      </c>
      <c r="E70" s="560" t="s">
        <v>20</v>
      </c>
      <c r="G70" s="9"/>
      <c r="H70" s="554"/>
    </row>
    <row r="71" spans="1:10" ht="13.5" customHeight="1" x14ac:dyDescent="0.2">
      <c r="A71" s="573" t="s">
        <v>42</v>
      </c>
      <c r="B71" s="574">
        <v>2.0619999999999998</v>
      </c>
      <c r="C71" s="574">
        <v>1.0269999999999999</v>
      </c>
      <c r="D71" s="575">
        <v>2.4940000000000002</v>
      </c>
      <c r="E71" s="575">
        <v>2.0430000000000001</v>
      </c>
      <c r="F71" s="575">
        <v>2.2839999999999998</v>
      </c>
      <c r="G71" s="575" t="s">
        <v>26</v>
      </c>
      <c r="H71" s="576" t="s">
        <v>26</v>
      </c>
    </row>
    <row r="72" spans="1:10" ht="13.7" customHeight="1" x14ac:dyDescent="0.2">
      <c r="A72" s="13" t="s">
        <v>380</v>
      </c>
      <c r="G72" s="9"/>
    </row>
    <row r="73" spans="1:10" ht="13.7" customHeight="1" x14ac:dyDescent="0.2">
      <c r="A73" s="13" t="s">
        <v>375</v>
      </c>
      <c r="G73" s="9"/>
    </row>
    <row r="74" spans="1:10" ht="13.7" customHeight="1" x14ac:dyDescent="0.2">
      <c r="A74" s="13" t="s">
        <v>374</v>
      </c>
      <c r="G74" s="9"/>
    </row>
    <row r="75" spans="1:10" ht="13.7" customHeight="1" x14ac:dyDescent="0.2">
      <c r="A75" s="13" t="s">
        <v>420</v>
      </c>
      <c r="G75" s="9"/>
    </row>
    <row r="76" spans="1:10" ht="15" customHeight="1" x14ac:dyDescent="0.2">
      <c r="A76" s="8" t="s">
        <v>421</v>
      </c>
      <c r="G76" s="9"/>
    </row>
    <row r="77" spans="1:10" ht="13.5" customHeight="1" x14ac:dyDescent="0.2">
      <c r="A77" s="13" t="s">
        <v>431</v>
      </c>
      <c r="G77" s="9"/>
    </row>
    <row r="78" spans="1:10" ht="13.5" customHeight="1" x14ac:dyDescent="0.2">
      <c r="A78" s="13" t="s">
        <v>429</v>
      </c>
      <c r="G78" s="9"/>
    </row>
    <row r="79" spans="1:10" x14ac:dyDescent="0.2">
      <c r="A79" s="14" t="s">
        <v>455</v>
      </c>
      <c r="G79" s="9"/>
      <c r="J79" s="10"/>
    </row>
    <row r="80" spans="1:10" x14ac:dyDescent="0.2">
      <c r="A80" s="8" t="s">
        <v>324</v>
      </c>
      <c r="G80" s="9"/>
      <c r="J80" s="10"/>
    </row>
    <row r="81" spans="1:10" x14ac:dyDescent="0.2">
      <c r="A81" s="6" t="s">
        <v>483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6:10" x14ac:dyDescent="0.2">
      <c r="G97" s="9"/>
      <c r="J97" s="10"/>
    </row>
    <row r="98" spans="6:10" x14ac:dyDescent="0.2">
      <c r="G98" s="9"/>
      <c r="J98" s="10"/>
    </row>
    <row r="99" spans="6:10" x14ac:dyDescent="0.2">
      <c r="G99" s="9"/>
      <c r="J99" s="10"/>
    </row>
    <row r="100" spans="6:10" x14ac:dyDescent="0.2">
      <c r="G100" s="9"/>
      <c r="J100" s="10"/>
    </row>
    <row r="101" spans="6:10" x14ac:dyDescent="0.2">
      <c r="G101" s="9"/>
      <c r="J101" s="10"/>
    </row>
    <row r="102" spans="6:10" x14ac:dyDescent="0.2">
      <c r="G102" s="9"/>
    </row>
    <row r="103" spans="6:10" x14ac:dyDescent="0.2">
      <c r="G103" s="9"/>
      <c r="J103" s="10"/>
    </row>
    <row r="104" spans="6:10" x14ac:dyDescent="0.2">
      <c r="G104" s="9"/>
      <c r="J104" s="10"/>
    </row>
    <row r="105" spans="6:10" x14ac:dyDescent="0.2">
      <c r="F105" s="154"/>
      <c r="G105" s="9"/>
      <c r="J105" s="10"/>
    </row>
    <row r="106" spans="6:10" x14ac:dyDescent="0.2">
      <c r="F106" s="154"/>
      <c r="G106" s="9"/>
      <c r="J106" s="10"/>
    </row>
    <row r="107" spans="6:10" x14ac:dyDescent="0.2">
      <c r="F107" s="154"/>
      <c r="G107" s="9"/>
      <c r="J107" s="10"/>
    </row>
    <row r="108" spans="6:10" x14ac:dyDescent="0.2">
      <c r="F108" s="154"/>
      <c r="G108" s="9"/>
    </row>
    <row r="109" spans="6:10" x14ac:dyDescent="0.2">
      <c r="F109" s="154"/>
      <c r="G109" s="9"/>
      <c r="J109" s="10"/>
    </row>
    <row r="110" spans="6:10" x14ac:dyDescent="0.2">
      <c r="F110" s="154"/>
      <c r="G110" s="9"/>
      <c r="J110" s="10"/>
    </row>
    <row r="111" spans="6:10" x14ac:dyDescent="0.2">
      <c r="F111" s="154"/>
      <c r="G111" s="9"/>
      <c r="J111" s="10"/>
    </row>
    <row r="112" spans="6:10" x14ac:dyDescent="0.2">
      <c r="F112" s="154"/>
      <c r="G112" s="9"/>
    </row>
    <row r="113" spans="6:10" x14ac:dyDescent="0.2">
      <c r="F113" s="154"/>
      <c r="G113" s="9"/>
      <c r="J113" s="10"/>
    </row>
    <row r="114" spans="6:10" x14ac:dyDescent="0.2">
      <c r="F114" s="154"/>
      <c r="G114" s="9"/>
      <c r="J114" s="10"/>
    </row>
    <row r="115" spans="6:10" x14ac:dyDescent="0.2">
      <c r="F115" s="154"/>
      <c r="G115" s="9"/>
    </row>
    <row r="116" spans="6:10" x14ac:dyDescent="0.2">
      <c r="F116" s="154"/>
      <c r="G116" s="9"/>
      <c r="J116" s="10"/>
    </row>
    <row r="117" spans="6:10" x14ac:dyDescent="0.2">
      <c r="F117" s="154"/>
      <c r="G117" s="9"/>
      <c r="J117" s="10"/>
    </row>
    <row r="118" spans="6:10" x14ac:dyDescent="0.2">
      <c r="F118" s="154"/>
      <c r="G118" s="9"/>
      <c r="J118" s="10"/>
    </row>
    <row r="119" spans="6:10" x14ac:dyDescent="0.2">
      <c r="F119" s="154"/>
      <c r="G119" s="9"/>
    </row>
    <row r="120" spans="6:10" x14ac:dyDescent="0.2">
      <c r="F120" s="154"/>
      <c r="G120" s="9"/>
    </row>
    <row r="121" spans="6:10" x14ac:dyDescent="0.2">
      <c r="F121" s="154"/>
      <c r="G121" s="9"/>
    </row>
    <row r="122" spans="6:10" x14ac:dyDescent="0.2">
      <c r="F122" s="154"/>
      <c r="G122" s="9"/>
    </row>
    <row r="123" spans="6:10" x14ac:dyDescent="0.2">
      <c r="F123" s="154"/>
      <c r="G123" s="9"/>
    </row>
    <row r="124" spans="6:10" x14ac:dyDescent="0.2">
      <c r="F124" s="154"/>
      <c r="G124" s="9"/>
    </row>
    <row r="125" spans="6:10" x14ac:dyDescent="0.2">
      <c r="F125" s="154"/>
      <c r="G125" s="9"/>
    </row>
    <row r="126" spans="6:10" x14ac:dyDescent="0.2">
      <c r="F126" s="154"/>
      <c r="G126" s="9"/>
    </row>
    <row r="127" spans="6:10" x14ac:dyDescent="0.2">
      <c r="F127" s="154"/>
      <c r="G127" s="9"/>
    </row>
    <row r="177" spans="9:9" x14ac:dyDescent="0.2">
      <c r="I177" s="278"/>
    </row>
    <row r="178" spans="9:9" x14ac:dyDescent="0.2">
      <c r="I178" s="278"/>
    </row>
    <row r="179" spans="9:9" x14ac:dyDescent="0.2">
      <c r="I179" s="278"/>
    </row>
    <row r="180" spans="9:9" x14ac:dyDescent="0.2">
      <c r="I180" s="278"/>
    </row>
    <row r="181" spans="9:9" x14ac:dyDescent="0.2">
      <c r="I181" s="278"/>
    </row>
    <row r="182" spans="9:9" x14ac:dyDescent="0.2">
      <c r="I182" s="278"/>
    </row>
    <row r="183" spans="9:9" x14ac:dyDescent="0.2">
      <c r="I183" s="278"/>
    </row>
    <row r="184" spans="9:9" x14ac:dyDescent="0.2">
      <c r="I184" s="278"/>
    </row>
    <row r="185" spans="9:9" x14ac:dyDescent="0.2">
      <c r="I185" s="278"/>
    </row>
    <row r="186" spans="9:9" x14ac:dyDescent="0.2">
      <c r="I186" s="278"/>
    </row>
    <row r="187" spans="9:9" x14ac:dyDescent="0.2">
      <c r="I187" s="278"/>
    </row>
    <row r="188" spans="9:9" x14ac:dyDescent="0.2">
      <c r="I188" s="278"/>
    </row>
    <row r="189" spans="9:9" x14ac:dyDescent="0.2">
      <c r="I189" s="278"/>
    </row>
    <row r="190" spans="9:9" x14ac:dyDescent="0.2">
      <c r="I190" s="278"/>
    </row>
    <row r="191" spans="9:9" x14ac:dyDescent="0.2">
      <c r="I191" s="278"/>
    </row>
    <row r="192" spans="9:9" x14ac:dyDescent="0.2">
      <c r="I192" s="278"/>
    </row>
    <row r="193" spans="9:9" x14ac:dyDescent="0.2">
      <c r="I193" s="278"/>
    </row>
    <row r="194" spans="9:9" x14ac:dyDescent="0.2">
      <c r="I194" s="278"/>
    </row>
    <row r="195" spans="9:9" x14ac:dyDescent="0.2">
      <c r="I195" s="278"/>
    </row>
    <row r="196" spans="9:9" x14ac:dyDescent="0.2">
      <c r="I196" s="278"/>
    </row>
    <row r="197" spans="9:9" x14ac:dyDescent="0.2">
      <c r="I197" s="278"/>
    </row>
    <row r="198" spans="9:9" x14ac:dyDescent="0.2">
      <c r="I198" s="278"/>
    </row>
    <row r="199" spans="9:9" x14ac:dyDescent="0.2">
      <c r="I199" s="278"/>
    </row>
    <row r="200" spans="9:9" x14ac:dyDescent="0.2">
      <c r="I200" s="278"/>
    </row>
    <row r="201" spans="9:9" x14ac:dyDescent="0.2">
      <c r="I201" s="278"/>
    </row>
    <row r="202" spans="9:9" x14ac:dyDescent="0.2">
      <c r="I202" s="278"/>
    </row>
    <row r="203" spans="9:9" x14ac:dyDescent="0.2">
      <c r="I203" s="278"/>
    </row>
    <row r="204" spans="9:9" x14ac:dyDescent="0.2">
      <c r="I204" s="278"/>
    </row>
    <row r="205" spans="9:9" x14ac:dyDescent="0.2">
      <c r="I205" s="278"/>
    </row>
    <row r="206" spans="9:9" x14ac:dyDescent="0.2">
      <c r="I206" s="278"/>
    </row>
    <row r="207" spans="9:9" x14ac:dyDescent="0.2">
      <c r="I207" s="278"/>
    </row>
    <row r="208" spans="9:9" x14ac:dyDescent="0.2">
      <c r="I208" s="278"/>
    </row>
    <row r="209" spans="9:9" x14ac:dyDescent="0.2">
      <c r="I209" s="278"/>
    </row>
    <row r="210" spans="9:9" x14ac:dyDescent="0.2">
      <c r="I210" s="278"/>
    </row>
    <row r="211" spans="9:9" x14ac:dyDescent="0.2">
      <c r="I211" s="278"/>
    </row>
    <row r="212" spans="9:9" x14ac:dyDescent="0.2">
      <c r="I212" s="278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7" transitionEvaluation="1" codeName="Sheet3">
    <pageSetUpPr fitToPage="1"/>
  </sheetPr>
  <dimension ref="A1:AF30"/>
  <sheetViews>
    <sheetView showGridLines="0" topLeftCell="A7" zoomScale="110" zoomScaleNormal="110" workbookViewId="0">
      <selection activeCell="C20" sqref="C20"/>
    </sheetView>
  </sheetViews>
  <sheetFormatPr defaultColWidth="8.625" defaultRowHeight="12" x14ac:dyDescent="0.2"/>
  <cols>
    <col min="1" max="1" width="17.25" style="16" customWidth="1"/>
    <col min="2" max="2" width="4.875" style="16" customWidth="1"/>
    <col min="3" max="3" width="10.125" style="16" customWidth="1"/>
    <col min="4" max="4" width="1.75" style="16" customWidth="1"/>
    <col min="5" max="5" width="8.375" style="28" customWidth="1"/>
    <col min="6" max="6" width="2.25" style="16" customWidth="1"/>
    <col min="7" max="7" width="9.375" style="16" customWidth="1"/>
    <col min="8" max="8" width="1.75" style="16" customWidth="1"/>
    <col min="9" max="9" width="8.375" style="16" customWidth="1"/>
    <col min="10" max="10" width="2.25" style="16" customWidth="1"/>
    <col min="11" max="11" width="9.375" style="16" customWidth="1"/>
    <col min="12" max="12" width="1.75" style="16" customWidth="1"/>
    <col min="13" max="13" width="8.375" style="16" customWidth="1"/>
    <col min="14" max="14" width="2.375" style="16" customWidth="1"/>
    <col min="15" max="15" width="9.375" style="17" customWidth="1"/>
    <col min="16" max="16" width="10.375" style="16" customWidth="1"/>
    <col min="17" max="17" width="1.375" style="16" customWidth="1"/>
    <col min="18" max="256" width="8.625" style="16"/>
    <col min="257" max="257" width="16.25" style="16" customWidth="1"/>
    <col min="258" max="258" width="4.875" style="16" customWidth="1"/>
    <col min="259" max="259" width="9.625" style="16" customWidth="1"/>
    <col min="260" max="260" width="1.75" style="16" customWidth="1"/>
    <col min="261" max="261" width="8.375" style="16" customWidth="1"/>
    <col min="262" max="262" width="2.25" style="16" customWidth="1"/>
    <col min="263" max="263" width="9.375" style="16" customWidth="1"/>
    <col min="264" max="264" width="1.75" style="16" customWidth="1"/>
    <col min="265" max="265" width="8.375" style="16" customWidth="1"/>
    <col min="266" max="266" width="2.25" style="16" customWidth="1"/>
    <col min="267" max="267" width="9.375" style="16" customWidth="1"/>
    <col min="268" max="268" width="1.75" style="16" customWidth="1"/>
    <col min="269" max="269" width="8.375" style="16" customWidth="1"/>
    <col min="270" max="270" width="2.375" style="16" customWidth="1"/>
    <col min="271" max="271" width="9.375" style="16" customWidth="1"/>
    <col min="272" max="272" width="10.375" style="16" customWidth="1"/>
    <col min="273" max="273" width="1.375" style="16" customWidth="1"/>
    <col min="274" max="512" width="8.625" style="16"/>
    <col min="513" max="513" width="16.25" style="16" customWidth="1"/>
    <col min="514" max="514" width="4.875" style="16" customWidth="1"/>
    <col min="515" max="515" width="9.625" style="16" customWidth="1"/>
    <col min="516" max="516" width="1.75" style="16" customWidth="1"/>
    <col min="517" max="517" width="8.375" style="16" customWidth="1"/>
    <col min="518" max="518" width="2.25" style="16" customWidth="1"/>
    <col min="519" max="519" width="9.375" style="16" customWidth="1"/>
    <col min="520" max="520" width="1.75" style="16" customWidth="1"/>
    <col min="521" max="521" width="8.375" style="16" customWidth="1"/>
    <col min="522" max="522" width="2.25" style="16" customWidth="1"/>
    <col min="523" max="523" width="9.375" style="16" customWidth="1"/>
    <col min="524" max="524" width="1.75" style="16" customWidth="1"/>
    <col min="525" max="525" width="8.375" style="16" customWidth="1"/>
    <col min="526" max="526" width="2.375" style="16" customWidth="1"/>
    <col min="527" max="527" width="9.375" style="16" customWidth="1"/>
    <col min="528" max="528" width="10.375" style="16" customWidth="1"/>
    <col min="529" max="529" width="1.375" style="16" customWidth="1"/>
    <col min="530" max="768" width="8.625" style="16"/>
    <col min="769" max="769" width="16.25" style="16" customWidth="1"/>
    <col min="770" max="770" width="4.875" style="16" customWidth="1"/>
    <col min="771" max="771" width="9.625" style="16" customWidth="1"/>
    <col min="772" max="772" width="1.75" style="16" customWidth="1"/>
    <col min="773" max="773" width="8.375" style="16" customWidth="1"/>
    <col min="774" max="774" width="2.25" style="16" customWidth="1"/>
    <col min="775" max="775" width="9.375" style="16" customWidth="1"/>
    <col min="776" max="776" width="1.75" style="16" customWidth="1"/>
    <col min="777" max="777" width="8.375" style="16" customWidth="1"/>
    <col min="778" max="778" width="2.25" style="16" customWidth="1"/>
    <col min="779" max="779" width="9.375" style="16" customWidth="1"/>
    <col min="780" max="780" width="1.75" style="16" customWidth="1"/>
    <col min="781" max="781" width="8.375" style="16" customWidth="1"/>
    <col min="782" max="782" width="2.375" style="16" customWidth="1"/>
    <col min="783" max="783" width="9.375" style="16" customWidth="1"/>
    <col min="784" max="784" width="10.375" style="16" customWidth="1"/>
    <col min="785" max="785" width="1.375" style="16" customWidth="1"/>
    <col min="786" max="1024" width="8.625" style="16"/>
    <col min="1025" max="1025" width="16.25" style="16" customWidth="1"/>
    <col min="1026" max="1026" width="4.875" style="16" customWidth="1"/>
    <col min="1027" max="1027" width="9.625" style="16" customWidth="1"/>
    <col min="1028" max="1028" width="1.75" style="16" customWidth="1"/>
    <col min="1029" max="1029" width="8.375" style="16" customWidth="1"/>
    <col min="1030" max="1030" width="2.25" style="16" customWidth="1"/>
    <col min="1031" max="1031" width="9.375" style="16" customWidth="1"/>
    <col min="1032" max="1032" width="1.75" style="16" customWidth="1"/>
    <col min="1033" max="1033" width="8.375" style="16" customWidth="1"/>
    <col min="1034" max="1034" width="2.25" style="16" customWidth="1"/>
    <col min="1035" max="1035" width="9.375" style="16" customWidth="1"/>
    <col min="1036" max="1036" width="1.75" style="16" customWidth="1"/>
    <col min="1037" max="1037" width="8.375" style="16" customWidth="1"/>
    <col min="1038" max="1038" width="2.375" style="16" customWidth="1"/>
    <col min="1039" max="1039" width="9.375" style="16" customWidth="1"/>
    <col min="1040" max="1040" width="10.375" style="16" customWidth="1"/>
    <col min="1041" max="1041" width="1.375" style="16" customWidth="1"/>
    <col min="1042" max="1280" width="8.625" style="16"/>
    <col min="1281" max="1281" width="16.25" style="16" customWidth="1"/>
    <col min="1282" max="1282" width="4.875" style="16" customWidth="1"/>
    <col min="1283" max="1283" width="9.625" style="16" customWidth="1"/>
    <col min="1284" max="1284" width="1.75" style="16" customWidth="1"/>
    <col min="1285" max="1285" width="8.375" style="16" customWidth="1"/>
    <col min="1286" max="1286" width="2.25" style="16" customWidth="1"/>
    <col min="1287" max="1287" width="9.375" style="16" customWidth="1"/>
    <col min="1288" max="1288" width="1.75" style="16" customWidth="1"/>
    <col min="1289" max="1289" width="8.375" style="16" customWidth="1"/>
    <col min="1290" max="1290" width="2.25" style="16" customWidth="1"/>
    <col min="1291" max="1291" width="9.375" style="16" customWidth="1"/>
    <col min="1292" max="1292" width="1.75" style="16" customWidth="1"/>
    <col min="1293" max="1293" width="8.375" style="16" customWidth="1"/>
    <col min="1294" max="1294" width="2.375" style="16" customWidth="1"/>
    <col min="1295" max="1295" width="9.375" style="16" customWidth="1"/>
    <col min="1296" max="1296" width="10.375" style="16" customWidth="1"/>
    <col min="1297" max="1297" width="1.375" style="16" customWidth="1"/>
    <col min="1298" max="1536" width="8.625" style="16"/>
    <col min="1537" max="1537" width="16.25" style="16" customWidth="1"/>
    <col min="1538" max="1538" width="4.875" style="16" customWidth="1"/>
    <col min="1539" max="1539" width="9.625" style="16" customWidth="1"/>
    <col min="1540" max="1540" width="1.75" style="16" customWidth="1"/>
    <col min="1541" max="1541" width="8.375" style="16" customWidth="1"/>
    <col min="1542" max="1542" width="2.25" style="16" customWidth="1"/>
    <col min="1543" max="1543" width="9.375" style="16" customWidth="1"/>
    <col min="1544" max="1544" width="1.75" style="16" customWidth="1"/>
    <col min="1545" max="1545" width="8.375" style="16" customWidth="1"/>
    <col min="1546" max="1546" width="2.25" style="16" customWidth="1"/>
    <col min="1547" max="1547" width="9.375" style="16" customWidth="1"/>
    <col min="1548" max="1548" width="1.75" style="16" customWidth="1"/>
    <col min="1549" max="1549" width="8.375" style="16" customWidth="1"/>
    <col min="1550" max="1550" width="2.375" style="16" customWidth="1"/>
    <col min="1551" max="1551" width="9.375" style="16" customWidth="1"/>
    <col min="1552" max="1552" width="10.375" style="16" customWidth="1"/>
    <col min="1553" max="1553" width="1.375" style="16" customWidth="1"/>
    <col min="1554" max="1792" width="8.625" style="16"/>
    <col min="1793" max="1793" width="16.25" style="16" customWidth="1"/>
    <col min="1794" max="1794" width="4.875" style="16" customWidth="1"/>
    <col min="1795" max="1795" width="9.625" style="16" customWidth="1"/>
    <col min="1796" max="1796" width="1.75" style="16" customWidth="1"/>
    <col min="1797" max="1797" width="8.375" style="16" customWidth="1"/>
    <col min="1798" max="1798" width="2.25" style="16" customWidth="1"/>
    <col min="1799" max="1799" width="9.375" style="16" customWidth="1"/>
    <col min="1800" max="1800" width="1.75" style="16" customWidth="1"/>
    <col min="1801" max="1801" width="8.375" style="16" customWidth="1"/>
    <col min="1802" max="1802" width="2.25" style="16" customWidth="1"/>
    <col min="1803" max="1803" width="9.375" style="16" customWidth="1"/>
    <col min="1804" max="1804" width="1.75" style="16" customWidth="1"/>
    <col min="1805" max="1805" width="8.375" style="16" customWidth="1"/>
    <col min="1806" max="1806" width="2.375" style="16" customWidth="1"/>
    <col min="1807" max="1807" width="9.375" style="16" customWidth="1"/>
    <col min="1808" max="1808" width="10.375" style="16" customWidth="1"/>
    <col min="1809" max="1809" width="1.375" style="16" customWidth="1"/>
    <col min="1810" max="2048" width="8.625" style="16"/>
    <col min="2049" max="2049" width="16.25" style="16" customWidth="1"/>
    <col min="2050" max="2050" width="4.875" style="16" customWidth="1"/>
    <col min="2051" max="2051" width="9.625" style="16" customWidth="1"/>
    <col min="2052" max="2052" width="1.75" style="16" customWidth="1"/>
    <col min="2053" max="2053" width="8.375" style="16" customWidth="1"/>
    <col min="2054" max="2054" width="2.25" style="16" customWidth="1"/>
    <col min="2055" max="2055" width="9.375" style="16" customWidth="1"/>
    <col min="2056" max="2056" width="1.75" style="16" customWidth="1"/>
    <col min="2057" max="2057" width="8.375" style="16" customWidth="1"/>
    <col min="2058" max="2058" width="2.25" style="16" customWidth="1"/>
    <col min="2059" max="2059" width="9.375" style="16" customWidth="1"/>
    <col min="2060" max="2060" width="1.75" style="16" customWidth="1"/>
    <col min="2061" max="2061" width="8.375" style="16" customWidth="1"/>
    <col min="2062" max="2062" width="2.375" style="16" customWidth="1"/>
    <col min="2063" max="2063" width="9.375" style="16" customWidth="1"/>
    <col min="2064" max="2064" width="10.375" style="16" customWidth="1"/>
    <col min="2065" max="2065" width="1.375" style="16" customWidth="1"/>
    <col min="2066" max="2304" width="8.625" style="16"/>
    <col min="2305" max="2305" width="16.25" style="16" customWidth="1"/>
    <col min="2306" max="2306" width="4.875" style="16" customWidth="1"/>
    <col min="2307" max="2307" width="9.625" style="16" customWidth="1"/>
    <col min="2308" max="2308" width="1.75" style="16" customWidth="1"/>
    <col min="2309" max="2309" width="8.375" style="16" customWidth="1"/>
    <col min="2310" max="2310" width="2.25" style="16" customWidth="1"/>
    <col min="2311" max="2311" width="9.375" style="16" customWidth="1"/>
    <col min="2312" max="2312" width="1.75" style="16" customWidth="1"/>
    <col min="2313" max="2313" width="8.375" style="16" customWidth="1"/>
    <col min="2314" max="2314" width="2.25" style="16" customWidth="1"/>
    <col min="2315" max="2315" width="9.375" style="16" customWidth="1"/>
    <col min="2316" max="2316" width="1.75" style="16" customWidth="1"/>
    <col min="2317" max="2317" width="8.375" style="16" customWidth="1"/>
    <col min="2318" max="2318" width="2.375" style="16" customWidth="1"/>
    <col min="2319" max="2319" width="9.375" style="16" customWidth="1"/>
    <col min="2320" max="2320" width="10.375" style="16" customWidth="1"/>
    <col min="2321" max="2321" width="1.375" style="16" customWidth="1"/>
    <col min="2322" max="2560" width="8.625" style="16"/>
    <col min="2561" max="2561" width="16.25" style="16" customWidth="1"/>
    <col min="2562" max="2562" width="4.875" style="16" customWidth="1"/>
    <col min="2563" max="2563" width="9.625" style="16" customWidth="1"/>
    <col min="2564" max="2564" width="1.75" style="16" customWidth="1"/>
    <col min="2565" max="2565" width="8.375" style="16" customWidth="1"/>
    <col min="2566" max="2566" width="2.25" style="16" customWidth="1"/>
    <col min="2567" max="2567" width="9.375" style="16" customWidth="1"/>
    <col min="2568" max="2568" width="1.75" style="16" customWidth="1"/>
    <col min="2569" max="2569" width="8.375" style="16" customWidth="1"/>
    <col min="2570" max="2570" width="2.25" style="16" customWidth="1"/>
    <col min="2571" max="2571" width="9.375" style="16" customWidth="1"/>
    <col min="2572" max="2572" width="1.75" style="16" customWidth="1"/>
    <col min="2573" max="2573" width="8.375" style="16" customWidth="1"/>
    <col min="2574" max="2574" width="2.375" style="16" customWidth="1"/>
    <col min="2575" max="2575" width="9.375" style="16" customWidth="1"/>
    <col min="2576" max="2576" width="10.375" style="16" customWidth="1"/>
    <col min="2577" max="2577" width="1.375" style="16" customWidth="1"/>
    <col min="2578" max="2816" width="8.625" style="16"/>
    <col min="2817" max="2817" width="16.25" style="16" customWidth="1"/>
    <col min="2818" max="2818" width="4.875" style="16" customWidth="1"/>
    <col min="2819" max="2819" width="9.625" style="16" customWidth="1"/>
    <col min="2820" max="2820" width="1.75" style="16" customWidth="1"/>
    <col min="2821" max="2821" width="8.375" style="16" customWidth="1"/>
    <col min="2822" max="2822" width="2.25" style="16" customWidth="1"/>
    <col min="2823" max="2823" width="9.375" style="16" customWidth="1"/>
    <col min="2824" max="2824" width="1.75" style="16" customWidth="1"/>
    <col min="2825" max="2825" width="8.375" style="16" customWidth="1"/>
    <col min="2826" max="2826" width="2.25" style="16" customWidth="1"/>
    <col min="2827" max="2827" width="9.375" style="16" customWidth="1"/>
    <col min="2828" max="2828" width="1.75" style="16" customWidth="1"/>
    <col min="2829" max="2829" width="8.375" style="16" customWidth="1"/>
    <col min="2830" max="2830" width="2.375" style="16" customWidth="1"/>
    <col min="2831" max="2831" width="9.375" style="16" customWidth="1"/>
    <col min="2832" max="2832" width="10.375" style="16" customWidth="1"/>
    <col min="2833" max="2833" width="1.375" style="16" customWidth="1"/>
    <col min="2834" max="3072" width="8.625" style="16"/>
    <col min="3073" max="3073" width="16.25" style="16" customWidth="1"/>
    <col min="3074" max="3074" width="4.875" style="16" customWidth="1"/>
    <col min="3075" max="3075" width="9.625" style="16" customWidth="1"/>
    <col min="3076" max="3076" width="1.75" style="16" customWidth="1"/>
    <col min="3077" max="3077" width="8.375" style="16" customWidth="1"/>
    <col min="3078" max="3078" width="2.25" style="16" customWidth="1"/>
    <col min="3079" max="3079" width="9.375" style="16" customWidth="1"/>
    <col min="3080" max="3080" width="1.75" style="16" customWidth="1"/>
    <col min="3081" max="3081" width="8.375" style="16" customWidth="1"/>
    <col min="3082" max="3082" width="2.25" style="16" customWidth="1"/>
    <col min="3083" max="3083" width="9.375" style="16" customWidth="1"/>
    <col min="3084" max="3084" width="1.75" style="16" customWidth="1"/>
    <col min="3085" max="3085" width="8.375" style="16" customWidth="1"/>
    <col min="3086" max="3086" width="2.375" style="16" customWidth="1"/>
    <col min="3087" max="3087" width="9.375" style="16" customWidth="1"/>
    <col min="3088" max="3088" width="10.375" style="16" customWidth="1"/>
    <col min="3089" max="3089" width="1.375" style="16" customWidth="1"/>
    <col min="3090" max="3328" width="8.625" style="16"/>
    <col min="3329" max="3329" width="16.25" style="16" customWidth="1"/>
    <col min="3330" max="3330" width="4.875" style="16" customWidth="1"/>
    <col min="3331" max="3331" width="9.625" style="16" customWidth="1"/>
    <col min="3332" max="3332" width="1.75" style="16" customWidth="1"/>
    <col min="3333" max="3333" width="8.375" style="16" customWidth="1"/>
    <col min="3334" max="3334" width="2.25" style="16" customWidth="1"/>
    <col min="3335" max="3335" width="9.375" style="16" customWidth="1"/>
    <col min="3336" max="3336" width="1.75" style="16" customWidth="1"/>
    <col min="3337" max="3337" width="8.375" style="16" customWidth="1"/>
    <col min="3338" max="3338" width="2.25" style="16" customWidth="1"/>
    <col min="3339" max="3339" width="9.375" style="16" customWidth="1"/>
    <col min="3340" max="3340" width="1.75" style="16" customWidth="1"/>
    <col min="3341" max="3341" width="8.375" style="16" customWidth="1"/>
    <col min="3342" max="3342" width="2.375" style="16" customWidth="1"/>
    <col min="3343" max="3343" width="9.375" style="16" customWidth="1"/>
    <col min="3344" max="3344" width="10.375" style="16" customWidth="1"/>
    <col min="3345" max="3345" width="1.375" style="16" customWidth="1"/>
    <col min="3346" max="3584" width="8.625" style="16"/>
    <col min="3585" max="3585" width="16.25" style="16" customWidth="1"/>
    <col min="3586" max="3586" width="4.875" style="16" customWidth="1"/>
    <col min="3587" max="3587" width="9.625" style="16" customWidth="1"/>
    <col min="3588" max="3588" width="1.75" style="16" customWidth="1"/>
    <col min="3589" max="3589" width="8.375" style="16" customWidth="1"/>
    <col min="3590" max="3590" width="2.25" style="16" customWidth="1"/>
    <col min="3591" max="3591" width="9.375" style="16" customWidth="1"/>
    <col min="3592" max="3592" width="1.75" style="16" customWidth="1"/>
    <col min="3593" max="3593" width="8.375" style="16" customWidth="1"/>
    <col min="3594" max="3594" width="2.25" style="16" customWidth="1"/>
    <col min="3595" max="3595" width="9.375" style="16" customWidth="1"/>
    <col min="3596" max="3596" width="1.75" style="16" customWidth="1"/>
    <col min="3597" max="3597" width="8.375" style="16" customWidth="1"/>
    <col min="3598" max="3598" width="2.375" style="16" customWidth="1"/>
    <col min="3599" max="3599" width="9.375" style="16" customWidth="1"/>
    <col min="3600" max="3600" width="10.375" style="16" customWidth="1"/>
    <col min="3601" max="3601" width="1.375" style="16" customWidth="1"/>
    <col min="3602" max="3840" width="8.625" style="16"/>
    <col min="3841" max="3841" width="16.25" style="16" customWidth="1"/>
    <col min="3842" max="3842" width="4.875" style="16" customWidth="1"/>
    <col min="3843" max="3843" width="9.625" style="16" customWidth="1"/>
    <col min="3844" max="3844" width="1.75" style="16" customWidth="1"/>
    <col min="3845" max="3845" width="8.375" style="16" customWidth="1"/>
    <col min="3846" max="3846" width="2.25" style="16" customWidth="1"/>
    <col min="3847" max="3847" width="9.375" style="16" customWidth="1"/>
    <col min="3848" max="3848" width="1.75" style="16" customWidth="1"/>
    <col min="3849" max="3849" width="8.375" style="16" customWidth="1"/>
    <col min="3850" max="3850" width="2.25" style="16" customWidth="1"/>
    <col min="3851" max="3851" width="9.375" style="16" customWidth="1"/>
    <col min="3852" max="3852" width="1.75" style="16" customWidth="1"/>
    <col min="3853" max="3853" width="8.375" style="16" customWidth="1"/>
    <col min="3854" max="3854" width="2.375" style="16" customWidth="1"/>
    <col min="3855" max="3855" width="9.375" style="16" customWidth="1"/>
    <col min="3856" max="3856" width="10.375" style="16" customWidth="1"/>
    <col min="3857" max="3857" width="1.375" style="16" customWidth="1"/>
    <col min="3858" max="4096" width="8.625" style="16"/>
    <col min="4097" max="4097" width="16.25" style="16" customWidth="1"/>
    <col min="4098" max="4098" width="4.875" style="16" customWidth="1"/>
    <col min="4099" max="4099" width="9.625" style="16" customWidth="1"/>
    <col min="4100" max="4100" width="1.75" style="16" customWidth="1"/>
    <col min="4101" max="4101" width="8.375" style="16" customWidth="1"/>
    <col min="4102" max="4102" width="2.25" style="16" customWidth="1"/>
    <col min="4103" max="4103" width="9.375" style="16" customWidth="1"/>
    <col min="4104" max="4104" width="1.75" style="16" customWidth="1"/>
    <col min="4105" max="4105" width="8.375" style="16" customWidth="1"/>
    <col min="4106" max="4106" width="2.25" style="16" customWidth="1"/>
    <col min="4107" max="4107" width="9.375" style="16" customWidth="1"/>
    <col min="4108" max="4108" width="1.75" style="16" customWidth="1"/>
    <col min="4109" max="4109" width="8.375" style="16" customWidth="1"/>
    <col min="4110" max="4110" width="2.375" style="16" customWidth="1"/>
    <col min="4111" max="4111" width="9.375" style="16" customWidth="1"/>
    <col min="4112" max="4112" width="10.375" style="16" customWidth="1"/>
    <col min="4113" max="4113" width="1.375" style="16" customWidth="1"/>
    <col min="4114" max="4352" width="8.625" style="16"/>
    <col min="4353" max="4353" width="16.25" style="16" customWidth="1"/>
    <col min="4354" max="4354" width="4.875" style="16" customWidth="1"/>
    <col min="4355" max="4355" width="9.625" style="16" customWidth="1"/>
    <col min="4356" max="4356" width="1.75" style="16" customWidth="1"/>
    <col min="4357" max="4357" width="8.375" style="16" customWidth="1"/>
    <col min="4358" max="4358" width="2.25" style="16" customWidth="1"/>
    <col min="4359" max="4359" width="9.375" style="16" customWidth="1"/>
    <col min="4360" max="4360" width="1.75" style="16" customWidth="1"/>
    <col min="4361" max="4361" width="8.375" style="16" customWidth="1"/>
    <col min="4362" max="4362" width="2.25" style="16" customWidth="1"/>
    <col min="4363" max="4363" width="9.375" style="16" customWidth="1"/>
    <col min="4364" max="4364" width="1.75" style="16" customWidth="1"/>
    <col min="4365" max="4365" width="8.375" style="16" customWidth="1"/>
    <col min="4366" max="4366" width="2.375" style="16" customWidth="1"/>
    <col min="4367" max="4367" width="9.375" style="16" customWidth="1"/>
    <col min="4368" max="4368" width="10.375" style="16" customWidth="1"/>
    <col min="4369" max="4369" width="1.375" style="16" customWidth="1"/>
    <col min="4370" max="4608" width="8.625" style="16"/>
    <col min="4609" max="4609" width="16.25" style="16" customWidth="1"/>
    <col min="4610" max="4610" width="4.875" style="16" customWidth="1"/>
    <col min="4611" max="4611" width="9.625" style="16" customWidth="1"/>
    <col min="4612" max="4612" width="1.75" style="16" customWidth="1"/>
    <col min="4613" max="4613" width="8.375" style="16" customWidth="1"/>
    <col min="4614" max="4614" width="2.25" style="16" customWidth="1"/>
    <col min="4615" max="4615" width="9.375" style="16" customWidth="1"/>
    <col min="4616" max="4616" width="1.75" style="16" customWidth="1"/>
    <col min="4617" max="4617" width="8.375" style="16" customWidth="1"/>
    <col min="4618" max="4618" width="2.25" style="16" customWidth="1"/>
    <col min="4619" max="4619" width="9.375" style="16" customWidth="1"/>
    <col min="4620" max="4620" width="1.75" style="16" customWidth="1"/>
    <col min="4621" max="4621" width="8.375" style="16" customWidth="1"/>
    <col min="4622" max="4622" width="2.375" style="16" customWidth="1"/>
    <col min="4623" max="4623" width="9.375" style="16" customWidth="1"/>
    <col min="4624" max="4624" width="10.375" style="16" customWidth="1"/>
    <col min="4625" max="4625" width="1.375" style="16" customWidth="1"/>
    <col min="4626" max="4864" width="8.625" style="16"/>
    <col min="4865" max="4865" width="16.25" style="16" customWidth="1"/>
    <col min="4866" max="4866" width="4.875" style="16" customWidth="1"/>
    <col min="4867" max="4867" width="9.625" style="16" customWidth="1"/>
    <col min="4868" max="4868" width="1.75" style="16" customWidth="1"/>
    <col min="4869" max="4869" width="8.375" style="16" customWidth="1"/>
    <col min="4870" max="4870" width="2.25" style="16" customWidth="1"/>
    <col min="4871" max="4871" width="9.375" style="16" customWidth="1"/>
    <col min="4872" max="4872" width="1.75" style="16" customWidth="1"/>
    <col min="4873" max="4873" width="8.375" style="16" customWidth="1"/>
    <col min="4874" max="4874" width="2.25" style="16" customWidth="1"/>
    <col min="4875" max="4875" width="9.375" style="16" customWidth="1"/>
    <col min="4876" max="4876" width="1.75" style="16" customWidth="1"/>
    <col min="4877" max="4877" width="8.375" style="16" customWidth="1"/>
    <col min="4878" max="4878" width="2.375" style="16" customWidth="1"/>
    <col min="4879" max="4879" width="9.375" style="16" customWidth="1"/>
    <col min="4880" max="4880" width="10.375" style="16" customWidth="1"/>
    <col min="4881" max="4881" width="1.375" style="16" customWidth="1"/>
    <col min="4882" max="5120" width="8.625" style="16"/>
    <col min="5121" max="5121" width="16.25" style="16" customWidth="1"/>
    <col min="5122" max="5122" width="4.875" style="16" customWidth="1"/>
    <col min="5123" max="5123" width="9.625" style="16" customWidth="1"/>
    <col min="5124" max="5124" width="1.75" style="16" customWidth="1"/>
    <col min="5125" max="5125" width="8.375" style="16" customWidth="1"/>
    <col min="5126" max="5126" width="2.25" style="16" customWidth="1"/>
    <col min="5127" max="5127" width="9.375" style="16" customWidth="1"/>
    <col min="5128" max="5128" width="1.75" style="16" customWidth="1"/>
    <col min="5129" max="5129" width="8.375" style="16" customWidth="1"/>
    <col min="5130" max="5130" width="2.25" style="16" customWidth="1"/>
    <col min="5131" max="5131" width="9.375" style="16" customWidth="1"/>
    <col min="5132" max="5132" width="1.75" style="16" customWidth="1"/>
    <col min="5133" max="5133" width="8.375" style="16" customWidth="1"/>
    <col min="5134" max="5134" width="2.375" style="16" customWidth="1"/>
    <col min="5135" max="5135" width="9.375" style="16" customWidth="1"/>
    <col min="5136" max="5136" width="10.375" style="16" customWidth="1"/>
    <col min="5137" max="5137" width="1.375" style="16" customWidth="1"/>
    <col min="5138" max="5376" width="8.625" style="16"/>
    <col min="5377" max="5377" width="16.25" style="16" customWidth="1"/>
    <col min="5378" max="5378" width="4.875" style="16" customWidth="1"/>
    <col min="5379" max="5379" width="9.625" style="16" customWidth="1"/>
    <col min="5380" max="5380" width="1.75" style="16" customWidth="1"/>
    <col min="5381" max="5381" width="8.375" style="16" customWidth="1"/>
    <col min="5382" max="5382" width="2.25" style="16" customWidth="1"/>
    <col min="5383" max="5383" width="9.375" style="16" customWidth="1"/>
    <col min="5384" max="5384" width="1.75" style="16" customWidth="1"/>
    <col min="5385" max="5385" width="8.375" style="16" customWidth="1"/>
    <col min="5386" max="5386" width="2.25" style="16" customWidth="1"/>
    <col min="5387" max="5387" width="9.375" style="16" customWidth="1"/>
    <col min="5388" max="5388" width="1.75" style="16" customWidth="1"/>
    <col min="5389" max="5389" width="8.375" style="16" customWidth="1"/>
    <col min="5390" max="5390" width="2.375" style="16" customWidth="1"/>
    <col min="5391" max="5391" width="9.375" style="16" customWidth="1"/>
    <col min="5392" max="5392" width="10.375" style="16" customWidth="1"/>
    <col min="5393" max="5393" width="1.375" style="16" customWidth="1"/>
    <col min="5394" max="5632" width="8.625" style="16"/>
    <col min="5633" max="5633" width="16.25" style="16" customWidth="1"/>
    <col min="5634" max="5634" width="4.875" style="16" customWidth="1"/>
    <col min="5635" max="5635" width="9.625" style="16" customWidth="1"/>
    <col min="5636" max="5636" width="1.75" style="16" customWidth="1"/>
    <col min="5637" max="5637" width="8.375" style="16" customWidth="1"/>
    <col min="5638" max="5638" width="2.25" style="16" customWidth="1"/>
    <col min="5639" max="5639" width="9.375" style="16" customWidth="1"/>
    <col min="5640" max="5640" width="1.75" style="16" customWidth="1"/>
    <col min="5641" max="5641" width="8.375" style="16" customWidth="1"/>
    <col min="5642" max="5642" width="2.25" style="16" customWidth="1"/>
    <col min="5643" max="5643" width="9.375" style="16" customWidth="1"/>
    <col min="5644" max="5644" width="1.75" style="16" customWidth="1"/>
    <col min="5645" max="5645" width="8.375" style="16" customWidth="1"/>
    <col min="5646" max="5646" width="2.375" style="16" customWidth="1"/>
    <col min="5647" max="5647" width="9.375" style="16" customWidth="1"/>
    <col min="5648" max="5648" width="10.375" style="16" customWidth="1"/>
    <col min="5649" max="5649" width="1.375" style="16" customWidth="1"/>
    <col min="5650" max="5888" width="8.625" style="16"/>
    <col min="5889" max="5889" width="16.25" style="16" customWidth="1"/>
    <col min="5890" max="5890" width="4.875" style="16" customWidth="1"/>
    <col min="5891" max="5891" width="9.625" style="16" customWidth="1"/>
    <col min="5892" max="5892" width="1.75" style="16" customWidth="1"/>
    <col min="5893" max="5893" width="8.375" style="16" customWidth="1"/>
    <col min="5894" max="5894" width="2.25" style="16" customWidth="1"/>
    <col min="5895" max="5895" width="9.375" style="16" customWidth="1"/>
    <col min="5896" max="5896" width="1.75" style="16" customWidth="1"/>
    <col min="5897" max="5897" width="8.375" style="16" customWidth="1"/>
    <col min="5898" max="5898" width="2.25" style="16" customWidth="1"/>
    <col min="5899" max="5899" width="9.375" style="16" customWidth="1"/>
    <col min="5900" max="5900" width="1.75" style="16" customWidth="1"/>
    <col min="5901" max="5901" width="8.375" style="16" customWidth="1"/>
    <col min="5902" max="5902" width="2.375" style="16" customWidth="1"/>
    <col min="5903" max="5903" width="9.375" style="16" customWidth="1"/>
    <col min="5904" max="5904" width="10.375" style="16" customWidth="1"/>
    <col min="5905" max="5905" width="1.375" style="16" customWidth="1"/>
    <col min="5906" max="6144" width="8.625" style="16"/>
    <col min="6145" max="6145" width="16.25" style="16" customWidth="1"/>
    <col min="6146" max="6146" width="4.875" style="16" customWidth="1"/>
    <col min="6147" max="6147" width="9.625" style="16" customWidth="1"/>
    <col min="6148" max="6148" width="1.75" style="16" customWidth="1"/>
    <col min="6149" max="6149" width="8.375" style="16" customWidth="1"/>
    <col min="6150" max="6150" width="2.25" style="16" customWidth="1"/>
    <col min="6151" max="6151" width="9.375" style="16" customWidth="1"/>
    <col min="6152" max="6152" width="1.75" style="16" customWidth="1"/>
    <col min="6153" max="6153" width="8.375" style="16" customWidth="1"/>
    <col min="6154" max="6154" width="2.25" style="16" customWidth="1"/>
    <col min="6155" max="6155" width="9.375" style="16" customWidth="1"/>
    <col min="6156" max="6156" width="1.75" style="16" customWidth="1"/>
    <col min="6157" max="6157" width="8.375" style="16" customWidth="1"/>
    <col min="6158" max="6158" width="2.375" style="16" customWidth="1"/>
    <col min="6159" max="6159" width="9.375" style="16" customWidth="1"/>
    <col min="6160" max="6160" width="10.375" style="16" customWidth="1"/>
    <col min="6161" max="6161" width="1.375" style="16" customWidth="1"/>
    <col min="6162" max="6400" width="8.625" style="16"/>
    <col min="6401" max="6401" width="16.25" style="16" customWidth="1"/>
    <col min="6402" max="6402" width="4.875" style="16" customWidth="1"/>
    <col min="6403" max="6403" width="9.625" style="16" customWidth="1"/>
    <col min="6404" max="6404" width="1.75" style="16" customWidth="1"/>
    <col min="6405" max="6405" width="8.375" style="16" customWidth="1"/>
    <col min="6406" max="6406" width="2.25" style="16" customWidth="1"/>
    <col min="6407" max="6407" width="9.375" style="16" customWidth="1"/>
    <col min="6408" max="6408" width="1.75" style="16" customWidth="1"/>
    <col min="6409" max="6409" width="8.375" style="16" customWidth="1"/>
    <col min="6410" max="6410" width="2.25" style="16" customWidth="1"/>
    <col min="6411" max="6411" width="9.375" style="16" customWidth="1"/>
    <col min="6412" max="6412" width="1.75" style="16" customWidth="1"/>
    <col min="6413" max="6413" width="8.375" style="16" customWidth="1"/>
    <col min="6414" max="6414" width="2.375" style="16" customWidth="1"/>
    <col min="6415" max="6415" width="9.375" style="16" customWidth="1"/>
    <col min="6416" max="6416" width="10.375" style="16" customWidth="1"/>
    <col min="6417" max="6417" width="1.375" style="16" customWidth="1"/>
    <col min="6418" max="6656" width="8.625" style="16"/>
    <col min="6657" max="6657" width="16.25" style="16" customWidth="1"/>
    <col min="6658" max="6658" width="4.875" style="16" customWidth="1"/>
    <col min="6659" max="6659" width="9.625" style="16" customWidth="1"/>
    <col min="6660" max="6660" width="1.75" style="16" customWidth="1"/>
    <col min="6661" max="6661" width="8.375" style="16" customWidth="1"/>
    <col min="6662" max="6662" width="2.25" style="16" customWidth="1"/>
    <col min="6663" max="6663" width="9.375" style="16" customWidth="1"/>
    <col min="6664" max="6664" width="1.75" style="16" customWidth="1"/>
    <col min="6665" max="6665" width="8.375" style="16" customWidth="1"/>
    <col min="6666" max="6666" width="2.25" style="16" customWidth="1"/>
    <col min="6667" max="6667" width="9.375" style="16" customWidth="1"/>
    <col min="6668" max="6668" width="1.75" style="16" customWidth="1"/>
    <col min="6669" max="6669" width="8.375" style="16" customWidth="1"/>
    <col min="6670" max="6670" width="2.375" style="16" customWidth="1"/>
    <col min="6671" max="6671" width="9.375" style="16" customWidth="1"/>
    <col min="6672" max="6672" width="10.375" style="16" customWidth="1"/>
    <col min="6673" max="6673" width="1.375" style="16" customWidth="1"/>
    <col min="6674" max="6912" width="8.625" style="16"/>
    <col min="6913" max="6913" width="16.25" style="16" customWidth="1"/>
    <col min="6914" max="6914" width="4.875" style="16" customWidth="1"/>
    <col min="6915" max="6915" width="9.625" style="16" customWidth="1"/>
    <col min="6916" max="6916" width="1.75" style="16" customWidth="1"/>
    <col min="6917" max="6917" width="8.375" style="16" customWidth="1"/>
    <col min="6918" max="6918" width="2.25" style="16" customWidth="1"/>
    <col min="6919" max="6919" width="9.375" style="16" customWidth="1"/>
    <col min="6920" max="6920" width="1.75" style="16" customWidth="1"/>
    <col min="6921" max="6921" width="8.375" style="16" customWidth="1"/>
    <col min="6922" max="6922" width="2.25" style="16" customWidth="1"/>
    <col min="6923" max="6923" width="9.375" style="16" customWidth="1"/>
    <col min="6924" max="6924" width="1.75" style="16" customWidth="1"/>
    <col min="6925" max="6925" width="8.375" style="16" customWidth="1"/>
    <col min="6926" max="6926" width="2.375" style="16" customWidth="1"/>
    <col min="6927" max="6927" width="9.375" style="16" customWidth="1"/>
    <col min="6928" max="6928" width="10.375" style="16" customWidth="1"/>
    <col min="6929" max="6929" width="1.375" style="16" customWidth="1"/>
    <col min="6930" max="7168" width="8.625" style="16"/>
    <col min="7169" max="7169" width="16.25" style="16" customWidth="1"/>
    <col min="7170" max="7170" width="4.875" style="16" customWidth="1"/>
    <col min="7171" max="7171" width="9.625" style="16" customWidth="1"/>
    <col min="7172" max="7172" width="1.75" style="16" customWidth="1"/>
    <col min="7173" max="7173" width="8.375" style="16" customWidth="1"/>
    <col min="7174" max="7174" width="2.25" style="16" customWidth="1"/>
    <col min="7175" max="7175" width="9.375" style="16" customWidth="1"/>
    <col min="7176" max="7176" width="1.75" style="16" customWidth="1"/>
    <col min="7177" max="7177" width="8.375" style="16" customWidth="1"/>
    <col min="7178" max="7178" width="2.25" style="16" customWidth="1"/>
    <col min="7179" max="7179" width="9.375" style="16" customWidth="1"/>
    <col min="7180" max="7180" width="1.75" style="16" customWidth="1"/>
    <col min="7181" max="7181" width="8.375" style="16" customWidth="1"/>
    <col min="7182" max="7182" width="2.375" style="16" customWidth="1"/>
    <col min="7183" max="7183" width="9.375" style="16" customWidth="1"/>
    <col min="7184" max="7184" width="10.375" style="16" customWidth="1"/>
    <col min="7185" max="7185" width="1.375" style="16" customWidth="1"/>
    <col min="7186" max="7424" width="8.625" style="16"/>
    <col min="7425" max="7425" width="16.25" style="16" customWidth="1"/>
    <col min="7426" max="7426" width="4.875" style="16" customWidth="1"/>
    <col min="7427" max="7427" width="9.625" style="16" customWidth="1"/>
    <col min="7428" max="7428" width="1.75" style="16" customWidth="1"/>
    <col min="7429" max="7429" width="8.375" style="16" customWidth="1"/>
    <col min="7430" max="7430" width="2.25" style="16" customWidth="1"/>
    <col min="7431" max="7431" width="9.375" style="16" customWidth="1"/>
    <col min="7432" max="7432" width="1.75" style="16" customWidth="1"/>
    <col min="7433" max="7433" width="8.375" style="16" customWidth="1"/>
    <col min="7434" max="7434" width="2.25" style="16" customWidth="1"/>
    <col min="7435" max="7435" width="9.375" style="16" customWidth="1"/>
    <col min="7436" max="7436" width="1.75" style="16" customWidth="1"/>
    <col min="7437" max="7437" width="8.375" style="16" customWidth="1"/>
    <col min="7438" max="7438" width="2.375" style="16" customWidth="1"/>
    <col min="7439" max="7439" width="9.375" style="16" customWidth="1"/>
    <col min="7440" max="7440" width="10.375" style="16" customWidth="1"/>
    <col min="7441" max="7441" width="1.375" style="16" customWidth="1"/>
    <col min="7442" max="7680" width="8.625" style="16"/>
    <col min="7681" max="7681" width="16.25" style="16" customWidth="1"/>
    <col min="7682" max="7682" width="4.875" style="16" customWidth="1"/>
    <col min="7683" max="7683" width="9.625" style="16" customWidth="1"/>
    <col min="7684" max="7684" width="1.75" style="16" customWidth="1"/>
    <col min="7685" max="7685" width="8.375" style="16" customWidth="1"/>
    <col min="7686" max="7686" width="2.25" style="16" customWidth="1"/>
    <col min="7687" max="7687" width="9.375" style="16" customWidth="1"/>
    <col min="7688" max="7688" width="1.75" style="16" customWidth="1"/>
    <col min="7689" max="7689" width="8.375" style="16" customWidth="1"/>
    <col min="7690" max="7690" width="2.25" style="16" customWidth="1"/>
    <col min="7691" max="7691" width="9.375" style="16" customWidth="1"/>
    <col min="7692" max="7692" width="1.75" style="16" customWidth="1"/>
    <col min="7693" max="7693" width="8.375" style="16" customWidth="1"/>
    <col min="7694" max="7694" width="2.375" style="16" customWidth="1"/>
    <col min="7695" max="7695" width="9.375" style="16" customWidth="1"/>
    <col min="7696" max="7696" width="10.375" style="16" customWidth="1"/>
    <col min="7697" max="7697" width="1.375" style="16" customWidth="1"/>
    <col min="7698" max="7936" width="8.625" style="16"/>
    <col min="7937" max="7937" width="16.25" style="16" customWidth="1"/>
    <col min="7938" max="7938" width="4.875" style="16" customWidth="1"/>
    <col min="7939" max="7939" width="9.625" style="16" customWidth="1"/>
    <col min="7940" max="7940" width="1.75" style="16" customWidth="1"/>
    <col min="7941" max="7941" width="8.375" style="16" customWidth="1"/>
    <col min="7942" max="7942" width="2.25" style="16" customWidth="1"/>
    <col min="7943" max="7943" width="9.375" style="16" customWidth="1"/>
    <col min="7944" max="7944" width="1.75" style="16" customWidth="1"/>
    <col min="7945" max="7945" width="8.375" style="16" customWidth="1"/>
    <col min="7946" max="7946" width="2.25" style="16" customWidth="1"/>
    <col min="7947" max="7947" width="9.375" style="16" customWidth="1"/>
    <col min="7948" max="7948" width="1.75" style="16" customWidth="1"/>
    <col min="7949" max="7949" width="8.375" style="16" customWidth="1"/>
    <col min="7950" max="7950" width="2.375" style="16" customWidth="1"/>
    <col min="7951" max="7951" width="9.375" style="16" customWidth="1"/>
    <col min="7952" max="7952" width="10.375" style="16" customWidth="1"/>
    <col min="7953" max="7953" width="1.375" style="16" customWidth="1"/>
    <col min="7954" max="8192" width="8.625" style="16"/>
    <col min="8193" max="8193" width="16.25" style="16" customWidth="1"/>
    <col min="8194" max="8194" width="4.875" style="16" customWidth="1"/>
    <col min="8195" max="8195" width="9.625" style="16" customWidth="1"/>
    <col min="8196" max="8196" width="1.75" style="16" customWidth="1"/>
    <col min="8197" max="8197" width="8.375" style="16" customWidth="1"/>
    <col min="8198" max="8198" width="2.25" style="16" customWidth="1"/>
    <col min="8199" max="8199" width="9.375" style="16" customWidth="1"/>
    <col min="8200" max="8200" width="1.75" style="16" customWidth="1"/>
    <col min="8201" max="8201" width="8.375" style="16" customWidth="1"/>
    <col min="8202" max="8202" width="2.25" style="16" customWidth="1"/>
    <col min="8203" max="8203" width="9.375" style="16" customWidth="1"/>
    <col min="8204" max="8204" width="1.75" style="16" customWidth="1"/>
    <col min="8205" max="8205" width="8.375" style="16" customWidth="1"/>
    <col min="8206" max="8206" width="2.375" style="16" customWidth="1"/>
    <col min="8207" max="8207" width="9.375" style="16" customWidth="1"/>
    <col min="8208" max="8208" width="10.375" style="16" customWidth="1"/>
    <col min="8209" max="8209" width="1.375" style="16" customWidth="1"/>
    <col min="8210" max="8448" width="8.625" style="16"/>
    <col min="8449" max="8449" width="16.25" style="16" customWidth="1"/>
    <col min="8450" max="8450" width="4.875" style="16" customWidth="1"/>
    <col min="8451" max="8451" width="9.625" style="16" customWidth="1"/>
    <col min="8452" max="8452" width="1.75" style="16" customWidth="1"/>
    <col min="8453" max="8453" width="8.375" style="16" customWidth="1"/>
    <col min="8454" max="8454" width="2.25" style="16" customWidth="1"/>
    <col min="8455" max="8455" width="9.375" style="16" customWidth="1"/>
    <col min="8456" max="8456" width="1.75" style="16" customWidth="1"/>
    <col min="8457" max="8457" width="8.375" style="16" customWidth="1"/>
    <col min="8458" max="8458" width="2.25" style="16" customWidth="1"/>
    <col min="8459" max="8459" width="9.375" style="16" customWidth="1"/>
    <col min="8460" max="8460" width="1.75" style="16" customWidth="1"/>
    <col min="8461" max="8461" width="8.375" style="16" customWidth="1"/>
    <col min="8462" max="8462" width="2.375" style="16" customWidth="1"/>
    <col min="8463" max="8463" width="9.375" style="16" customWidth="1"/>
    <col min="8464" max="8464" width="10.375" style="16" customWidth="1"/>
    <col min="8465" max="8465" width="1.375" style="16" customWidth="1"/>
    <col min="8466" max="8704" width="8.625" style="16"/>
    <col min="8705" max="8705" width="16.25" style="16" customWidth="1"/>
    <col min="8706" max="8706" width="4.875" style="16" customWidth="1"/>
    <col min="8707" max="8707" width="9.625" style="16" customWidth="1"/>
    <col min="8708" max="8708" width="1.75" style="16" customWidth="1"/>
    <col min="8709" max="8709" width="8.375" style="16" customWidth="1"/>
    <col min="8710" max="8710" width="2.25" style="16" customWidth="1"/>
    <col min="8711" max="8711" width="9.375" style="16" customWidth="1"/>
    <col min="8712" max="8712" width="1.75" style="16" customWidth="1"/>
    <col min="8713" max="8713" width="8.375" style="16" customWidth="1"/>
    <col min="8714" max="8714" width="2.25" style="16" customWidth="1"/>
    <col min="8715" max="8715" width="9.375" style="16" customWidth="1"/>
    <col min="8716" max="8716" width="1.75" style="16" customWidth="1"/>
    <col min="8717" max="8717" width="8.375" style="16" customWidth="1"/>
    <col min="8718" max="8718" width="2.375" style="16" customWidth="1"/>
    <col min="8719" max="8719" width="9.375" style="16" customWidth="1"/>
    <col min="8720" max="8720" width="10.375" style="16" customWidth="1"/>
    <col min="8721" max="8721" width="1.375" style="16" customWidth="1"/>
    <col min="8722" max="8960" width="8.625" style="16"/>
    <col min="8961" max="8961" width="16.25" style="16" customWidth="1"/>
    <col min="8962" max="8962" width="4.875" style="16" customWidth="1"/>
    <col min="8963" max="8963" width="9.625" style="16" customWidth="1"/>
    <col min="8964" max="8964" width="1.75" style="16" customWidth="1"/>
    <col min="8965" max="8965" width="8.375" style="16" customWidth="1"/>
    <col min="8966" max="8966" width="2.25" style="16" customWidth="1"/>
    <col min="8967" max="8967" width="9.375" style="16" customWidth="1"/>
    <col min="8968" max="8968" width="1.75" style="16" customWidth="1"/>
    <col min="8969" max="8969" width="8.375" style="16" customWidth="1"/>
    <col min="8970" max="8970" width="2.25" style="16" customWidth="1"/>
    <col min="8971" max="8971" width="9.375" style="16" customWidth="1"/>
    <col min="8972" max="8972" width="1.75" style="16" customWidth="1"/>
    <col min="8973" max="8973" width="8.375" style="16" customWidth="1"/>
    <col min="8974" max="8974" width="2.375" style="16" customWidth="1"/>
    <col min="8975" max="8975" width="9.375" style="16" customWidth="1"/>
    <col min="8976" max="8976" width="10.375" style="16" customWidth="1"/>
    <col min="8977" max="8977" width="1.375" style="16" customWidth="1"/>
    <col min="8978" max="9216" width="8.625" style="16"/>
    <col min="9217" max="9217" width="16.25" style="16" customWidth="1"/>
    <col min="9218" max="9218" width="4.875" style="16" customWidth="1"/>
    <col min="9219" max="9219" width="9.625" style="16" customWidth="1"/>
    <col min="9220" max="9220" width="1.75" style="16" customWidth="1"/>
    <col min="9221" max="9221" width="8.375" style="16" customWidth="1"/>
    <col min="9222" max="9222" width="2.25" style="16" customWidth="1"/>
    <col min="9223" max="9223" width="9.375" style="16" customWidth="1"/>
    <col min="9224" max="9224" width="1.75" style="16" customWidth="1"/>
    <col min="9225" max="9225" width="8.375" style="16" customWidth="1"/>
    <col min="9226" max="9226" width="2.25" style="16" customWidth="1"/>
    <col min="9227" max="9227" width="9.375" style="16" customWidth="1"/>
    <col min="9228" max="9228" width="1.75" style="16" customWidth="1"/>
    <col min="9229" max="9229" width="8.375" style="16" customWidth="1"/>
    <col min="9230" max="9230" width="2.375" style="16" customWidth="1"/>
    <col min="9231" max="9231" width="9.375" style="16" customWidth="1"/>
    <col min="9232" max="9232" width="10.375" style="16" customWidth="1"/>
    <col min="9233" max="9233" width="1.375" style="16" customWidth="1"/>
    <col min="9234" max="9472" width="8.625" style="16"/>
    <col min="9473" max="9473" width="16.25" style="16" customWidth="1"/>
    <col min="9474" max="9474" width="4.875" style="16" customWidth="1"/>
    <col min="9475" max="9475" width="9.625" style="16" customWidth="1"/>
    <col min="9476" max="9476" width="1.75" style="16" customWidth="1"/>
    <col min="9477" max="9477" width="8.375" style="16" customWidth="1"/>
    <col min="9478" max="9478" width="2.25" style="16" customWidth="1"/>
    <col min="9479" max="9479" width="9.375" style="16" customWidth="1"/>
    <col min="9480" max="9480" width="1.75" style="16" customWidth="1"/>
    <col min="9481" max="9481" width="8.375" style="16" customWidth="1"/>
    <col min="9482" max="9482" width="2.25" style="16" customWidth="1"/>
    <col min="9483" max="9483" width="9.375" style="16" customWidth="1"/>
    <col min="9484" max="9484" width="1.75" style="16" customWidth="1"/>
    <col min="9485" max="9485" width="8.375" style="16" customWidth="1"/>
    <col min="9486" max="9486" width="2.375" style="16" customWidth="1"/>
    <col min="9487" max="9487" width="9.375" style="16" customWidth="1"/>
    <col min="9488" max="9488" width="10.375" style="16" customWidth="1"/>
    <col min="9489" max="9489" width="1.375" style="16" customWidth="1"/>
    <col min="9490" max="9728" width="8.625" style="16"/>
    <col min="9729" max="9729" width="16.25" style="16" customWidth="1"/>
    <col min="9730" max="9730" width="4.875" style="16" customWidth="1"/>
    <col min="9731" max="9731" width="9.625" style="16" customWidth="1"/>
    <col min="9732" max="9732" width="1.75" style="16" customWidth="1"/>
    <col min="9733" max="9733" width="8.375" style="16" customWidth="1"/>
    <col min="9734" max="9734" width="2.25" style="16" customWidth="1"/>
    <col min="9735" max="9735" width="9.375" style="16" customWidth="1"/>
    <col min="9736" max="9736" width="1.75" style="16" customWidth="1"/>
    <col min="9737" max="9737" width="8.375" style="16" customWidth="1"/>
    <col min="9738" max="9738" width="2.25" style="16" customWidth="1"/>
    <col min="9739" max="9739" width="9.375" style="16" customWidth="1"/>
    <col min="9740" max="9740" width="1.75" style="16" customWidth="1"/>
    <col min="9741" max="9741" width="8.375" style="16" customWidth="1"/>
    <col min="9742" max="9742" width="2.375" style="16" customWidth="1"/>
    <col min="9743" max="9743" width="9.375" style="16" customWidth="1"/>
    <col min="9744" max="9744" width="10.375" style="16" customWidth="1"/>
    <col min="9745" max="9745" width="1.375" style="16" customWidth="1"/>
    <col min="9746" max="9984" width="8.625" style="16"/>
    <col min="9985" max="9985" width="16.25" style="16" customWidth="1"/>
    <col min="9986" max="9986" width="4.875" style="16" customWidth="1"/>
    <col min="9987" max="9987" width="9.625" style="16" customWidth="1"/>
    <col min="9988" max="9988" width="1.75" style="16" customWidth="1"/>
    <col min="9989" max="9989" width="8.375" style="16" customWidth="1"/>
    <col min="9990" max="9990" width="2.25" style="16" customWidth="1"/>
    <col min="9991" max="9991" width="9.375" style="16" customWidth="1"/>
    <col min="9992" max="9992" width="1.75" style="16" customWidth="1"/>
    <col min="9993" max="9993" width="8.375" style="16" customWidth="1"/>
    <col min="9994" max="9994" width="2.25" style="16" customWidth="1"/>
    <col min="9995" max="9995" width="9.375" style="16" customWidth="1"/>
    <col min="9996" max="9996" width="1.75" style="16" customWidth="1"/>
    <col min="9997" max="9997" width="8.375" style="16" customWidth="1"/>
    <col min="9998" max="9998" width="2.375" style="16" customWidth="1"/>
    <col min="9999" max="9999" width="9.375" style="16" customWidth="1"/>
    <col min="10000" max="10000" width="10.375" style="16" customWidth="1"/>
    <col min="10001" max="10001" width="1.375" style="16" customWidth="1"/>
    <col min="10002" max="10240" width="8.625" style="16"/>
    <col min="10241" max="10241" width="16.25" style="16" customWidth="1"/>
    <col min="10242" max="10242" width="4.875" style="16" customWidth="1"/>
    <col min="10243" max="10243" width="9.625" style="16" customWidth="1"/>
    <col min="10244" max="10244" width="1.75" style="16" customWidth="1"/>
    <col min="10245" max="10245" width="8.375" style="16" customWidth="1"/>
    <col min="10246" max="10246" width="2.25" style="16" customWidth="1"/>
    <col min="10247" max="10247" width="9.375" style="16" customWidth="1"/>
    <col min="10248" max="10248" width="1.75" style="16" customWidth="1"/>
    <col min="10249" max="10249" width="8.375" style="16" customWidth="1"/>
    <col min="10250" max="10250" width="2.25" style="16" customWidth="1"/>
    <col min="10251" max="10251" width="9.375" style="16" customWidth="1"/>
    <col min="10252" max="10252" width="1.75" style="16" customWidth="1"/>
    <col min="10253" max="10253" width="8.375" style="16" customWidth="1"/>
    <col min="10254" max="10254" width="2.375" style="16" customWidth="1"/>
    <col min="10255" max="10255" width="9.375" style="16" customWidth="1"/>
    <col min="10256" max="10256" width="10.375" style="16" customWidth="1"/>
    <col min="10257" max="10257" width="1.375" style="16" customWidth="1"/>
    <col min="10258" max="10496" width="8.625" style="16"/>
    <col min="10497" max="10497" width="16.25" style="16" customWidth="1"/>
    <col min="10498" max="10498" width="4.875" style="16" customWidth="1"/>
    <col min="10499" max="10499" width="9.625" style="16" customWidth="1"/>
    <col min="10500" max="10500" width="1.75" style="16" customWidth="1"/>
    <col min="10501" max="10501" width="8.375" style="16" customWidth="1"/>
    <col min="10502" max="10502" width="2.25" style="16" customWidth="1"/>
    <col min="10503" max="10503" width="9.375" style="16" customWidth="1"/>
    <col min="10504" max="10504" width="1.75" style="16" customWidth="1"/>
    <col min="10505" max="10505" width="8.375" style="16" customWidth="1"/>
    <col min="10506" max="10506" width="2.25" style="16" customWidth="1"/>
    <col min="10507" max="10507" width="9.375" style="16" customWidth="1"/>
    <col min="10508" max="10508" width="1.75" style="16" customWidth="1"/>
    <col min="10509" max="10509" width="8.375" style="16" customWidth="1"/>
    <col min="10510" max="10510" width="2.375" style="16" customWidth="1"/>
    <col min="10511" max="10511" width="9.375" style="16" customWidth="1"/>
    <col min="10512" max="10512" width="10.375" style="16" customWidth="1"/>
    <col min="10513" max="10513" width="1.375" style="16" customWidth="1"/>
    <col min="10514" max="10752" width="8.625" style="16"/>
    <col min="10753" max="10753" width="16.25" style="16" customWidth="1"/>
    <col min="10754" max="10754" width="4.875" style="16" customWidth="1"/>
    <col min="10755" max="10755" width="9.625" style="16" customWidth="1"/>
    <col min="10756" max="10756" width="1.75" style="16" customWidth="1"/>
    <col min="10757" max="10757" width="8.375" style="16" customWidth="1"/>
    <col min="10758" max="10758" width="2.25" style="16" customWidth="1"/>
    <col min="10759" max="10759" width="9.375" style="16" customWidth="1"/>
    <col min="10760" max="10760" width="1.75" style="16" customWidth="1"/>
    <col min="10761" max="10761" width="8.375" style="16" customWidth="1"/>
    <col min="10762" max="10762" width="2.25" style="16" customWidth="1"/>
    <col min="10763" max="10763" width="9.375" style="16" customWidth="1"/>
    <col min="10764" max="10764" width="1.75" style="16" customWidth="1"/>
    <col min="10765" max="10765" width="8.375" style="16" customWidth="1"/>
    <col min="10766" max="10766" width="2.375" style="16" customWidth="1"/>
    <col min="10767" max="10767" width="9.375" style="16" customWidth="1"/>
    <col min="10768" max="10768" width="10.375" style="16" customWidth="1"/>
    <col min="10769" max="10769" width="1.375" style="16" customWidth="1"/>
    <col min="10770" max="11008" width="8.625" style="16"/>
    <col min="11009" max="11009" width="16.25" style="16" customWidth="1"/>
    <col min="11010" max="11010" width="4.875" style="16" customWidth="1"/>
    <col min="11011" max="11011" width="9.625" style="16" customWidth="1"/>
    <col min="11012" max="11012" width="1.75" style="16" customWidth="1"/>
    <col min="11013" max="11013" width="8.375" style="16" customWidth="1"/>
    <col min="11014" max="11014" width="2.25" style="16" customWidth="1"/>
    <col min="11015" max="11015" width="9.375" style="16" customWidth="1"/>
    <col min="11016" max="11016" width="1.75" style="16" customWidth="1"/>
    <col min="11017" max="11017" width="8.375" style="16" customWidth="1"/>
    <col min="11018" max="11018" width="2.25" style="16" customWidth="1"/>
    <col min="11019" max="11019" width="9.375" style="16" customWidth="1"/>
    <col min="11020" max="11020" width="1.75" style="16" customWidth="1"/>
    <col min="11021" max="11021" width="8.375" style="16" customWidth="1"/>
    <col min="11022" max="11022" width="2.375" style="16" customWidth="1"/>
    <col min="11023" max="11023" width="9.375" style="16" customWidth="1"/>
    <col min="11024" max="11024" width="10.375" style="16" customWidth="1"/>
    <col min="11025" max="11025" width="1.375" style="16" customWidth="1"/>
    <col min="11026" max="11264" width="8.625" style="16"/>
    <col min="11265" max="11265" width="16.25" style="16" customWidth="1"/>
    <col min="11266" max="11266" width="4.875" style="16" customWidth="1"/>
    <col min="11267" max="11267" width="9.625" style="16" customWidth="1"/>
    <col min="11268" max="11268" width="1.75" style="16" customWidth="1"/>
    <col min="11269" max="11269" width="8.375" style="16" customWidth="1"/>
    <col min="11270" max="11270" width="2.25" style="16" customWidth="1"/>
    <col min="11271" max="11271" width="9.375" style="16" customWidth="1"/>
    <col min="11272" max="11272" width="1.75" style="16" customWidth="1"/>
    <col min="11273" max="11273" width="8.375" style="16" customWidth="1"/>
    <col min="11274" max="11274" width="2.25" style="16" customWidth="1"/>
    <col min="11275" max="11275" width="9.375" style="16" customWidth="1"/>
    <col min="11276" max="11276" width="1.75" style="16" customWidth="1"/>
    <col min="11277" max="11277" width="8.375" style="16" customWidth="1"/>
    <col min="11278" max="11278" width="2.375" style="16" customWidth="1"/>
    <col min="11279" max="11279" width="9.375" style="16" customWidth="1"/>
    <col min="11280" max="11280" width="10.375" style="16" customWidth="1"/>
    <col min="11281" max="11281" width="1.375" style="16" customWidth="1"/>
    <col min="11282" max="11520" width="8.625" style="16"/>
    <col min="11521" max="11521" width="16.25" style="16" customWidth="1"/>
    <col min="11522" max="11522" width="4.875" style="16" customWidth="1"/>
    <col min="11523" max="11523" width="9.625" style="16" customWidth="1"/>
    <col min="11524" max="11524" width="1.75" style="16" customWidth="1"/>
    <col min="11525" max="11525" width="8.375" style="16" customWidth="1"/>
    <col min="11526" max="11526" width="2.25" style="16" customWidth="1"/>
    <col min="11527" max="11527" width="9.375" style="16" customWidth="1"/>
    <col min="11528" max="11528" width="1.75" style="16" customWidth="1"/>
    <col min="11529" max="11529" width="8.375" style="16" customWidth="1"/>
    <col min="11530" max="11530" width="2.25" style="16" customWidth="1"/>
    <col min="11531" max="11531" width="9.375" style="16" customWidth="1"/>
    <col min="11532" max="11532" width="1.75" style="16" customWidth="1"/>
    <col min="11533" max="11533" width="8.375" style="16" customWidth="1"/>
    <col min="11534" max="11534" width="2.375" style="16" customWidth="1"/>
    <col min="11535" max="11535" width="9.375" style="16" customWidth="1"/>
    <col min="11536" max="11536" width="10.375" style="16" customWidth="1"/>
    <col min="11537" max="11537" width="1.375" style="16" customWidth="1"/>
    <col min="11538" max="11776" width="8.625" style="16"/>
    <col min="11777" max="11777" width="16.25" style="16" customWidth="1"/>
    <col min="11778" max="11778" width="4.875" style="16" customWidth="1"/>
    <col min="11779" max="11779" width="9.625" style="16" customWidth="1"/>
    <col min="11780" max="11780" width="1.75" style="16" customWidth="1"/>
    <col min="11781" max="11781" width="8.375" style="16" customWidth="1"/>
    <col min="11782" max="11782" width="2.25" style="16" customWidth="1"/>
    <col min="11783" max="11783" width="9.375" style="16" customWidth="1"/>
    <col min="11784" max="11784" width="1.75" style="16" customWidth="1"/>
    <col min="11785" max="11785" width="8.375" style="16" customWidth="1"/>
    <col min="11786" max="11786" width="2.25" style="16" customWidth="1"/>
    <col min="11787" max="11787" width="9.375" style="16" customWidth="1"/>
    <col min="11788" max="11788" width="1.75" style="16" customWidth="1"/>
    <col min="11789" max="11789" width="8.375" style="16" customWidth="1"/>
    <col min="11790" max="11790" width="2.375" style="16" customWidth="1"/>
    <col min="11791" max="11791" width="9.375" style="16" customWidth="1"/>
    <col min="11792" max="11792" width="10.375" style="16" customWidth="1"/>
    <col min="11793" max="11793" width="1.375" style="16" customWidth="1"/>
    <col min="11794" max="12032" width="8.625" style="16"/>
    <col min="12033" max="12033" width="16.25" style="16" customWidth="1"/>
    <col min="12034" max="12034" width="4.875" style="16" customWidth="1"/>
    <col min="12035" max="12035" width="9.625" style="16" customWidth="1"/>
    <col min="12036" max="12036" width="1.75" style="16" customWidth="1"/>
    <col min="12037" max="12037" width="8.375" style="16" customWidth="1"/>
    <col min="12038" max="12038" width="2.25" style="16" customWidth="1"/>
    <col min="12039" max="12039" width="9.375" style="16" customWidth="1"/>
    <col min="12040" max="12040" width="1.75" style="16" customWidth="1"/>
    <col min="12041" max="12041" width="8.375" style="16" customWidth="1"/>
    <col min="12042" max="12042" width="2.25" style="16" customWidth="1"/>
    <col min="12043" max="12043" width="9.375" style="16" customWidth="1"/>
    <col min="12044" max="12044" width="1.75" style="16" customWidth="1"/>
    <col min="12045" max="12045" width="8.375" style="16" customWidth="1"/>
    <col min="12046" max="12046" width="2.375" style="16" customWidth="1"/>
    <col min="12047" max="12047" width="9.375" style="16" customWidth="1"/>
    <col min="12048" max="12048" width="10.375" style="16" customWidth="1"/>
    <col min="12049" max="12049" width="1.375" style="16" customWidth="1"/>
    <col min="12050" max="12288" width="8.625" style="16"/>
    <col min="12289" max="12289" width="16.25" style="16" customWidth="1"/>
    <col min="12290" max="12290" width="4.875" style="16" customWidth="1"/>
    <col min="12291" max="12291" width="9.625" style="16" customWidth="1"/>
    <col min="12292" max="12292" width="1.75" style="16" customWidth="1"/>
    <col min="12293" max="12293" width="8.375" style="16" customWidth="1"/>
    <col min="12294" max="12294" width="2.25" style="16" customWidth="1"/>
    <col min="12295" max="12295" width="9.375" style="16" customWidth="1"/>
    <col min="12296" max="12296" width="1.75" style="16" customWidth="1"/>
    <col min="12297" max="12297" width="8.375" style="16" customWidth="1"/>
    <col min="12298" max="12298" width="2.25" style="16" customWidth="1"/>
    <col min="12299" max="12299" width="9.375" style="16" customWidth="1"/>
    <col min="12300" max="12300" width="1.75" style="16" customWidth="1"/>
    <col min="12301" max="12301" width="8.375" style="16" customWidth="1"/>
    <col min="12302" max="12302" width="2.375" style="16" customWidth="1"/>
    <col min="12303" max="12303" width="9.375" style="16" customWidth="1"/>
    <col min="12304" max="12304" width="10.375" style="16" customWidth="1"/>
    <col min="12305" max="12305" width="1.375" style="16" customWidth="1"/>
    <col min="12306" max="12544" width="8.625" style="16"/>
    <col min="12545" max="12545" width="16.25" style="16" customWidth="1"/>
    <col min="12546" max="12546" width="4.875" style="16" customWidth="1"/>
    <col min="12547" max="12547" width="9.625" style="16" customWidth="1"/>
    <col min="12548" max="12548" width="1.75" style="16" customWidth="1"/>
    <col min="12549" max="12549" width="8.375" style="16" customWidth="1"/>
    <col min="12550" max="12550" width="2.25" style="16" customWidth="1"/>
    <col min="12551" max="12551" width="9.375" style="16" customWidth="1"/>
    <col min="12552" max="12552" width="1.75" style="16" customWidth="1"/>
    <col min="12553" max="12553" width="8.375" style="16" customWidth="1"/>
    <col min="12554" max="12554" width="2.25" style="16" customWidth="1"/>
    <col min="12555" max="12555" width="9.375" style="16" customWidth="1"/>
    <col min="12556" max="12556" width="1.75" style="16" customWidth="1"/>
    <col min="12557" max="12557" width="8.375" style="16" customWidth="1"/>
    <col min="12558" max="12558" width="2.375" style="16" customWidth="1"/>
    <col min="12559" max="12559" width="9.375" style="16" customWidth="1"/>
    <col min="12560" max="12560" width="10.375" style="16" customWidth="1"/>
    <col min="12561" max="12561" width="1.375" style="16" customWidth="1"/>
    <col min="12562" max="12800" width="8.625" style="16"/>
    <col min="12801" max="12801" width="16.25" style="16" customWidth="1"/>
    <col min="12802" max="12802" width="4.875" style="16" customWidth="1"/>
    <col min="12803" max="12803" width="9.625" style="16" customWidth="1"/>
    <col min="12804" max="12804" width="1.75" style="16" customWidth="1"/>
    <col min="12805" max="12805" width="8.375" style="16" customWidth="1"/>
    <col min="12806" max="12806" width="2.25" style="16" customWidth="1"/>
    <col min="12807" max="12807" width="9.375" style="16" customWidth="1"/>
    <col min="12808" max="12808" width="1.75" style="16" customWidth="1"/>
    <col min="12809" max="12809" width="8.375" style="16" customWidth="1"/>
    <col min="12810" max="12810" width="2.25" style="16" customWidth="1"/>
    <col min="12811" max="12811" width="9.375" style="16" customWidth="1"/>
    <col min="12812" max="12812" width="1.75" style="16" customWidth="1"/>
    <col min="12813" max="12813" width="8.375" style="16" customWidth="1"/>
    <col min="12814" max="12814" width="2.375" style="16" customWidth="1"/>
    <col min="12815" max="12815" width="9.375" style="16" customWidth="1"/>
    <col min="12816" max="12816" width="10.375" style="16" customWidth="1"/>
    <col min="12817" max="12817" width="1.375" style="16" customWidth="1"/>
    <col min="12818" max="13056" width="8.625" style="16"/>
    <col min="13057" max="13057" width="16.25" style="16" customWidth="1"/>
    <col min="13058" max="13058" width="4.875" style="16" customWidth="1"/>
    <col min="13059" max="13059" width="9.625" style="16" customWidth="1"/>
    <col min="13060" max="13060" width="1.75" style="16" customWidth="1"/>
    <col min="13061" max="13061" width="8.375" style="16" customWidth="1"/>
    <col min="13062" max="13062" width="2.25" style="16" customWidth="1"/>
    <col min="13063" max="13063" width="9.375" style="16" customWidth="1"/>
    <col min="13064" max="13064" width="1.75" style="16" customWidth="1"/>
    <col min="13065" max="13065" width="8.375" style="16" customWidth="1"/>
    <col min="13066" max="13066" width="2.25" style="16" customWidth="1"/>
    <col min="13067" max="13067" width="9.375" style="16" customWidth="1"/>
    <col min="13068" max="13068" width="1.75" style="16" customWidth="1"/>
    <col min="13069" max="13069" width="8.375" style="16" customWidth="1"/>
    <col min="13070" max="13070" width="2.375" style="16" customWidth="1"/>
    <col min="13071" max="13071" width="9.375" style="16" customWidth="1"/>
    <col min="13072" max="13072" width="10.375" style="16" customWidth="1"/>
    <col min="13073" max="13073" width="1.375" style="16" customWidth="1"/>
    <col min="13074" max="13312" width="8.625" style="16"/>
    <col min="13313" max="13313" width="16.25" style="16" customWidth="1"/>
    <col min="13314" max="13314" width="4.875" style="16" customWidth="1"/>
    <col min="13315" max="13315" width="9.625" style="16" customWidth="1"/>
    <col min="13316" max="13316" width="1.75" style="16" customWidth="1"/>
    <col min="13317" max="13317" width="8.375" style="16" customWidth="1"/>
    <col min="13318" max="13318" width="2.25" style="16" customWidth="1"/>
    <col min="13319" max="13319" width="9.375" style="16" customWidth="1"/>
    <col min="13320" max="13320" width="1.75" style="16" customWidth="1"/>
    <col min="13321" max="13321" width="8.375" style="16" customWidth="1"/>
    <col min="13322" max="13322" width="2.25" style="16" customWidth="1"/>
    <col min="13323" max="13323" width="9.375" style="16" customWidth="1"/>
    <col min="13324" max="13324" width="1.75" style="16" customWidth="1"/>
    <col min="13325" max="13325" width="8.375" style="16" customWidth="1"/>
    <col min="13326" max="13326" width="2.375" style="16" customWidth="1"/>
    <col min="13327" max="13327" width="9.375" style="16" customWidth="1"/>
    <col min="13328" max="13328" width="10.375" style="16" customWidth="1"/>
    <col min="13329" max="13329" width="1.375" style="16" customWidth="1"/>
    <col min="13330" max="13568" width="8.625" style="16"/>
    <col min="13569" max="13569" width="16.25" style="16" customWidth="1"/>
    <col min="13570" max="13570" width="4.875" style="16" customWidth="1"/>
    <col min="13571" max="13571" width="9.625" style="16" customWidth="1"/>
    <col min="13572" max="13572" width="1.75" style="16" customWidth="1"/>
    <col min="13573" max="13573" width="8.375" style="16" customWidth="1"/>
    <col min="13574" max="13574" width="2.25" style="16" customWidth="1"/>
    <col min="13575" max="13575" width="9.375" style="16" customWidth="1"/>
    <col min="13576" max="13576" width="1.75" style="16" customWidth="1"/>
    <col min="13577" max="13577" width="8.375" style="16" customWidth="1"/>
    <col min="13578" max="13578" width="2.25" style="16" customWidth="1"/>
    <col min="13579" max="13579" width="9.375" style="16" customWidth="1"/>
    <col min="13580" max="13580" width="1.75" style="16" customWidth="1"/>
    <col min="13581" max="13581" width="8.375" style="16" customWidth="1"/>
    <col min="13582" max="13582" width="2.375" style="16" customWidth="1"/>
    <col min="13583" max="13583" width="9.375" style="16" customWidth="1"/>
    <col min="13584" max="13584" width="10.375" style="16" customWidth="1"/>
    <col min="13585" max="13585" width="1.375" style="16" customWidth="1"/>
    <col min="13586" max="13824" width="8.625" style="16"/>
    <col min="13825" max="13825" width="16.25" style="16" customWidth="1"/>
    <col min="13826" max="13826" width="4.875" style="16" customWidth="1"/>
    <col min="13827" max="13827" width="9.625" style="16" customWidth="1"/>
    <col min="13828" max="13828" width="1.75" style="16" customWidth="1"/>
    <col min="13829" max="13829" width="8.375" style="16" customWidth="1"/>
    <col min="13830" max="13830" width="2.25" style="16" customWidth="1"/>
    <col min="13831" max="13831" width="9.375" style="16" customWidth="1"/>
    <col min="13832" max="13832" width="1.75" style="16" customWidth="1"/>
    <col min="13833" max="13833" width="8.375" style="16" customWidth="1"/>
    <col min="13834" max="13834" width="2.25" style="16" customWidth="1"/>
    <col min="13835" max="13835" width="9.375" style="16" customWidth="1"/>
    <col min="13836" max="13836" width="1.75" style="16" customWidth="1"/>
    <col min="13837" max="13837" width="8.375" style="16" customWidth="1"/>
    <col min="13838" max="13838" width="2.375" style="16" customWidth="1"/>
    <col min="13839" max="13839" width="9.375" style="16" customWidth="1"/>
    <col min="13840" max="13840" width="10.375" style="16" customWidth="1"/>
    <col min="13841" max="13841" width="1.375" style="16" customWidth="1"/>
    <col min="13842" max="14080" width="8.625" style="16"/>
    <col min="14081" max="14081" width="16.25" style="16" customWidth="1"/>
    <col min="14082" max="14082" width="4.875" style="16" customWidth="1"/>
    <col min="14083" max="14083" width="9.625" style="16" customWidth="1"/>
    <col min="14084" max="14084" width="1.75" style="16" customWidth="1"/>
    <col min="14085" max="14085" width="8.375" style="16" customWidth="1"/>
    <col min="14086" max="14086" width="2.25" style="16" customWidth="1"/>
    <col min="14087" max="14087" width="9.375" style="16" customWidth="1"/>
    <col min="14088" max="14088" width="1.75" style="16" customWidth="1"/>
    <col min="14089" max="14089" width="8.375" style="16" customWidth="1"/>
    <col min="14090" max="14090" width="2.25" style="16" customWidth="1"/>
    <col min="14091" max="14091" width="9.375" style="16" customWidth="1"/>
    <col min="14092" max="14092" width="1.75" style="16" customWidth="1"/>
    <col min="14093" max="14093" width="8.375" style="16" customWidth="1"/>
    <col min="14094" max="14094" width="2.375" style="16" customWidth="1"/>
    <col min="14095" max="14095" width="9.375" style="16" customWidth="1"/>
    <col min="14096" max="14096" width="10.375" style="16" customWidth="1"/>
    <col min="14097" max="14097" width="1.375" style="16" customWidth="1"/>
    <col min="14098" max="14336" width="8.625" style="16"/>
    <col min="14337" max="14337" width="16.25" style="16" customWidth="1"/>
    <col min="14338" max="14338" width="4.875" style="16" customWidth="1"/>
    <col min="14339" max="14339" width="9.625" style="16" customWidth="1"/>
    <col min="14340" max="14340" width="1.75" style="16" customWidth="1"/>
    <col min="14341" max="14341" width="8.375" style="16" customWidth="1"/>
    <col min="14342" max="14342" width="2.25" style="16" customWidth="1"/>
    <col min="14343" max="14343" width="9.375" style="16" customWidth="1"/>
    <col min="14344" max="14344" width="1.75" style="16" customWidth="1"/>
    <col min="14345" max="14345" width="8.375" style="16" customWidth="1"/>
    <col min="14346" max="14346" width="2.25" style="16" customWidth="1"/>
    <col min="14347" max="14347" width="9.375" style="16" customWidth="1"/>
    <col min="14348" max="14348" width="1.75" style="16" customWidth="1"/>
    <col min="14349" max="14349" width="8.375" style="16" customWidth="1"/>
    <col min="14350" max="14350" width="2.375" style="16" customWidth="1"/>
    <col min="14351" max="14351" width="9.375" style="16" customWidth="1"/>
    <col min="14352" max="14352" width="10.375" style="16" customWidth="1"/>
    <col min="14353" max="14353" width="1.375" style="16" customWidth="1"/>
    <col min="14354" max="14592" width="8.625" style="16"/>
    <col min="14593" max="14593" width="16.25" style="16" customWidth="1"/>
    <col min="14594" max="14594" width="4.875" style="16" customWidth="1"/>
    <col min="14595" max="14595" width="9.625" style="16" customWidth="1"/>
    <col min="14596" max="14596" width="1.75" style="16" customWidth="1"/>
    <col min="14597" max="14597" width="8.375" style="16" customWidth="1"/>
    <col min="14598" max="14598" width="2.25" style="16" customWidth="1"/>
    <col min="14599" max="14599" width="9.375" style="16" customWidth="1"/>
    <col min="14600" max="14600" width="1.75" style="16" customWidth="1"/>
    <col min="14601" max="14601" width="8.375" style="16" customWidth="1"/>
    <col min="14602" max="14602" width="2.25" style="16" customWidth="1"/>
    <col min="14603" max="14603" width="9.375" style="16" customWidth="1"/>
    <col min="14604" max="14604" width="1.75" style="16" customWidth="1"/>
    <col min="14605" max="14605" width="8.375" style="16" customWidth="1"/>
    <col min="14606" max="14606" width="2.375" style="16" customWidth="1"/>
    <col min="14607" max="14607" width="9.375" style="16" customWidth="1"/>
    <col min="14608" max="14608" width="10.375" style="16" customWidth="1"/>
    <col min="14609" max="14609" width="1.375" style="16" customWidth="1"/>
    <col min="14610" max="14848" width="8.625" style="16"/>
    <col min="14849" max="14849" width="16.25" style="16" customWidth="1"/>
    <col min="14850" max="14850" width="4.875" style="16" customWidth="1"/>
    <col min="14851" max="14851" width="9.625" style="16" customWidth="1"/>
    <col min="14852" max="14852" width="1.75" style="16" customWidth="1"/>
    <col min="14853" max="14853" width="8.375" style="16" customWidth="1"/>
    <col min="14854" max="14854" width="2.25" style="16" customWidth="1"/>
    <col min="14855" max="14855" width="9.375" style="16" customWidth="1"/>
    <col min="14856" max="14856" width="1.75" style="16" customWidth="1"/>
    <col min="14857" max="14857" width="8.375" style="16" customWidth="1"/>
    <col min="14858" max="14858" width="2.25" style="16" customWidth="1"/>
    <col min="14859" max="14859" width="9.375" style="16" customWidth="1"/>
    <col min="14860" max="14860" width="1.75" style="16" customWidth="1"/>
    <col min="14861" max="14861" width="8.375" style="16" customWidth="1"/>
    <col min="14862" max="14862" width="2.375" style="16" customWidth="1"/>
    <col min="14863" max="14863" width="9.375" style="16" customWidth="1"/>
    <col min="14864" max="14864" width="10.375" style="16" customWidth="1"/>
    <col min="14865" max="14865" width="1.375" style="16" customWidth="1"/>
    <col min="14866" max="15104" width="8.625" style="16"/>
    <col min="15105" max="15105" width="16.25" style="16" customWidth="1"/>
    <col min="15106" max="15106" width="4.875" style="16" customWidth="1"/>
    <col min="15107" max="15107" width="9.625" style="16" customWidth="1"/>
    <col min="15108" max="15108" width="1.75" style="16" customWidth="1"/>
    <col min="15109" max="15109" width="8.375" style="16" customWidth="1"/>
    <col min="15110" max="15110" width="2.25" style="16" customWidth="1"/>
    <col min="15111" max="15111" width="9.375" style="16" customWidth="1"/>
    <col min="15112" max="15112" width="1.75" style="16" customWidth="1"/>
    <col min="15113" max="15113" width="8.375" style="16" customWidth="1"/>
    <col min="15114" max="15114" width="2.25" style="16" customWidth="1"/>
    <col min="15115" max="15115" width="9.375" style="16" customWidth="1"/>
    <col min="15116" max="15116" width="1.75" style="16" customWidth="1"/>
    <col min="15117" max="15117" width="8.375" style="16" customWidth="1"/>
    <col min="15118" max="15118" width="2.375" style="16" customWidth="1"/>
    <col min="15119" max="15119" width="9.375" style="16" customWidth="1"/>
    <col min="15120" max="15120" width="10.375" style="16" customWidth="1"/>
    <col min="15121" max="15121" width="1.375" style="16" customWidth="1"/>
    <col min="15122" max="15360" width="8.625" style="16"/>
    <col min="15361" max="15361" width="16.25" style="16" customWidth="1"/>
    <col min="15362" max="15362" width="4.875" style="16" customWidth="1"/>
    <col min="15363" max="15363" width="9.625" style="16" customWidth="1"/>
    <col min="15364" max="15364" width="1.75" style="16" customWidth="1"/>
    <col min="15365" max="15365" width="8.375" style="16" customWidth="1"/>
    <col min="15366" max="15366" width="2.25" style="16" customWidth="1"/>
    <col min="15367" max="15367" width="9.375" style="16" customWidth="1"/>
    <col min="15368" max="15368" width="1.75" style="16" customWidth="1"/>
    <col min="15369" max="15369" width="8.375" style="16" customWidth="1"/>
    <col min="15370" max="15370" width="2.25" style="16" customWidth="1"/>
    <col min="15371" max="15371" width="9.375" style="16" customWidth="1"/>
    <col min="15372" max="15372" width="1.75" style="16" customWidth="1"/>
    <col min="15373" max="15373" width="8.375" style="16" customWidth="1"/>
    <col min="15374" max="15374" width="2.375" style="16" customWidth="1"/>
    <col min="15375" max="15375" width="9.375" style="16" customWidth="1"/>
    <col min="15376" max="15376" width="10.375" style="16" customWidth="1"/>
    <col min="15377" max="15377" width="1.375" style="16" customWidth="1"/>
    <col min="15378" max="15616" width="8.625" style="16"/>
    <col min="15617" max="15617" width="16.25" style="16" customWidth="1"/>
    <col min="15618" max="15618" width="4.875" style="16" customWidth="1"/>
    <col min="15619" max="15619" width="9.625" style="16" customWidth="1"/>
    <col min="15620" max="15620" width="1.75" style="16" customWidth="1"/>
    <col min="15621" max="15621" width="8.375" style="16" customWidth="1"/>
    <col min="15622" max="15622" width="2.25" style="16" customWidth="1"/>
    <col min="15623" max="15623" width="9.375" style="16" customWidth="1"/>
    <col min="15624" max="15624" width="1.75" style="16" customWidth="1"/>
    <col min="15625" max="15625" width="8.375" style="16" customWidth="1"/>
    <col min="15626" max="15626" width="2.25" style="16" customWidth="1"/>
    <col min="15627" max="15627" width="9.375" style="16" customWidth="1"/>
    <col min="15628" max="15628" width="1.75" style="16" customWidth="1"/>
    <col min="15629" max="15629" width="8.375" style="16" customWidth="1"/>
    <col min="15630" max="15630" width="2.375" style="16" customWidth="1"/>
    <col min="15631" max="15631" width="9.375" style="16" customWidth="1"/>
    <col min="15632" max="15632" width="10.375" style="16" customWidth="1"/>
    <col min="15633" max="15633" width="1.375" style="16" customWidth="1"/>
    <col min="15634" max="15872" width="8.625" style="16"/>
    <col min="15873" max="15873" width="16.25" style="16" customWidth="1"/>
    <col min="15874" max="15874" width="4.875" style="16" customWidth="1"/>
    <col min="15875" max="15875" width="9.625" style="16" customWidth="1"/>
    <col min="15876" max="15876" width="1.75" style="16" customWidth="1"/>
    <col min="15877" max="15877" width="8.375" style="16" customWidth="1"/>
    <col min="15878" max="15878" width="2.25" style="16" customWidth="1"/>
    <col min="15879" max="15879" width="9.375" style="16" customWidth="1"/>
    <col min="15880" max="15880" width="1.75" style="16" customWidth="1"/>
    <col min="15881" max="15881" width="8.375" style="16" customWidth="1"/>
    <col min="15882" max="15882" width="2.25" style="16" customWidth="1"/>
    <col min="15883" max="15883" width="9.375" style="16" customWidth="1"/>
    <col min="15884" max="15884" width="1.75" style="16" customWidth="1"/>
    <col min="15885" max="15885" width="8.375" style="16" customWidth="1"/>
    <col min="15886" max="15886" width="2.375" style="16" customWidth="1"/>
    <col min="15887" max="15887" width="9.375" style="16" customWidth="1"/>
    <col min="15888" max="15888" width="10.375" style="16" customWidth="1"/>
    <col min="15889" max="15889" width="1.375" style="16" customWidth="1"/>
    <col min="15890" max="16128" width="8.625" style="16"/>
    <col min="16129" max="16129" width="16.25" style="16" customWidth="1"/>
    <col min="16130" max="16130" width="4.875" style="16" customWidth="1"/>
    <col min="16131" max="16131" width="9.625" style="16" customWidth="1"/>
    <col min="16132" max="16132" width="1.75" style="16" customWidth="1"/>
    <col min="16133" max="16133" width="8.375" style="16" customWidth="1"/>
    <col min="16134" max="16134" width="2.25" style="16" customWidth="1"/>
    <col min="16135" max="16135" width="9.375" style="16" customWidth="1"/>
    <col min="16136" max="16136" width="1.75" style="16" customWidth="1"/>
    <col min="16137" max="16137" width="8.375" style="16" customWidth="1"/>
    <col min="16138" max="16138" width="2.25" style="16" customWidth="1"/>
    <col min="16139" max="16139" width="9.375" style="16" customWidth="1"/>
    <col min="16140" max="16140" width="1.75" style="16" customWidth="1"/>
    <col min="16141" max="16141" width="8.375" style="16" customWidth="1"/>
    <col min="16142" max="16142" width="2.375" style="16" customWidth="1"/>
    <col min="16143" max="16143" width="9.375" style="16" customWidth="1"/>
    <col min="16144" max="16144" width="10.375" style="16" customWidth="1"/>
    <col min="16145" max="16145" width="1.375" style="16" customWidth="1"/>
    <col min="16146" max="16384" width="8.625" style="16"/>
  </cols>
  <sheetData>
    <row r="1" spans="1:32" x14ac:dyDescent="0.2">
      <c r="A1" s="354" t="s">
        <v>344</v>
      </c>
      <c r="B1" s="355"/>
      <c r="C1" s="355"/>
      <c r="D1" s="355"/>
      <c r="E1" s="356"/>
      <c r="F1" s="355"/>
      <c r="G1" s="355"/>
      <c r="H1" s="355"/>
      <c r="I1" s="356"/>
      <c r="J1" s="355"/>
      <c r="K1" s="355"/>
      <c r="L1" s="355"/>
      <c r="M1" s="355"/>
      <c r="N1" s="357"/>
    </row>
    <row r="2" spans="1:32" x14ac:dyDescent="0.2">
      <c r="A2" s="358"/>
      <c r="B2" s="359"/>
      <c r="C2" s="18"/>
      <c r="D2" s="19" t="s">
        <v>393</v>
      </c>
      <c r="E2" s="20"/>
      <c r="F2" s="360"/>
      <c r="G2" s="18"/>
      <c r="H2" s="19" t="s">
        <v>350</v>
      </c>
      <c r="I2" s="20"/>
      <c r="J2" s="360"/>
      <c r="K2" s="18"/>
      <c r="L2" s="19" t="s">
        <v>302</v>
      </c>
      <c r="M2" s="20"/>
      <c r="N2" s="361"/>
      <c r="O2" s="21"/>
      <c r="AD2" s="22"/>
      <c r="AE2" s="22"/>
    </row>
    <row r="3" spans="1:32" x14ac:dyDescent="0.2">
      <c r="A3" s="362" t="s">
        <v>44</v>
      </c>
      <c r="B3" s="23"/>
      <c r="C3" s="24" t="s">
        <v>45</v>
      </c>
      <c r="D3" s="24"/>
      <c r="E3" s="25" t="s">
        <v>46</v>
      </c>
      <c r="F3" s="15"/>
      <c r="G3" s="24" t="s">
        <v>45</v>
      </c>
      <c r="H3" s="24"/>
      <c r="I3" s="25" t="s">
        <v>46</v>
      </c>
      <c r="J3" s="15"/>
      <c r="K3" s="24" t="s">
        <v>45</v>
      </c>
      <c r="L3" s="24"/>
      <c r="M3" s="25" t="s">
        <v>46</v>
      </c>
      <c r="N3" s="363"/>
      <c r="AE3" s="27"/>
    </row>
    <row r="4" spans="1:32" x14ac:dyDescent="0.2">
      <c r="A4" s="364"/>
      <c r="B4" s="359"/>
      <c r="C4" s="27"/>
      <c r="D4" s="27"/>
      <c r="G4" s="27"/>
      <c r="H4" s="27"/>
      <c r="I4" s="28"/>
      <c r="K4" s="27"/>
      <c r="L4" s="27"/>
      <c r="M4" s="28"/>
      <c r="N4" s="365"/>
      <c r="AE4" s="27"/>
    </row>
    <row r="5" spans="1:32" x14ac:dyDescent="0.2">
      <c r="A5" s="358"/>
      <c r="B5" s="359"/>
      <c r="I5" s="28"/>
      <c r="M5" s="28"/>
      <c r="N5" s="365"/>
      <c r="AD5" s="27"/>
      <c r="AE5" s="27"/>
      <c r="AF5" s="22"/>
    </row>
    <row r="6" spans="1:32" x14ac:dyDescent="0.2">
      <c r="A6" s="364" t="s">
        <v>47</v>
      </c>
      <c r="B6" s="359"/>
      <c r="C6" s="366">
        <v>22.4</v>
      </c>
      <c r="D6" s="37"/>
      <c r="E6" s="367">
        <v>4532</v>
      </c>
      <c r="G6" s="366">
        <v>19.2</v>
      </c>
      <c r="H6" s="37"/>
      <c r="I6" s="367">
        <v>4685</v>
      </c>
      <c r="K6" s="366">
        <v>15.4</v>
      </c>
      <c r="L6" s="37"/>
      <c r="M6" s="367">
        <v>8070</v>
      </c>
      <c r="N6" s="365"/>
      <c r="O6" s="21"/>
    </row>
    <row r="7" spans="1:32" x14ac:dyDescent="0.2">
      <c r="A7" s="364" t="s">
        <v>48</v>
      </c>
      <c r="B7" s="359"/>
      <c r="C7" s="366">
        <v>17.3</v>
      </c>
      <c r="D7" s="37"/>
      <c r="E7" s="367">
        <v>10144</v>
      </c>
      <c r="G7" s="366">
        <v>17.7</v>
      </c>
      <c r="H7" s="37"/>
      <c r="I7" s="367">
        <v>9203</v>
      </c>
      <c r="K7" s="366">
        <v>14.2</v>
      </c>
      <c r="L7" s="37"/>
      <c r="M7" s="367">
        <v>10527</v>
      </c>
      <c r="N7" s="365"/>
      <c r="O7" s="21"/>
      <c r="AD7" s="29"/>
      <c r="AF7" s="29"/>
    </row>
    <row r="8" spans="1:32" x14ac:dyDescent="0.2">
      <c r="A8" s="364" t="s">
        <v>49</v>
      </c>
      <c r="B8" s="359"/>
      <c r="C8" s="366">
        <v>17.3</v>
      </c>
      <c r="D8" s="37"/>
      <c r="E8" s="367">
        <v>15149</v>
      </c>
      <c r="F8" s="368"/>
      <c r="G8" s="366">
        <v>18.8</v>
      </c>
      <c r="H8" s="37"/>
      <c r="I8" s="367">
        <v>10359</v>
      </c>
      <c r="J8" s="368"/>
      <c r="K8" s="366">
        <v>15</v>
      </c>
      <c r="L8" s="37"/>
      <c r="M8" s="367">
        <v>12897</v>
      </c>
      <c r="N8" s="365"/>
      <c r="AD8" s="29"/>
      <c r="AF8" s="29"/>
    </row>
    <row r="9" spans="1:32" x14ac:dyDescent="0.2">
      <c r="A9" s="364" t="s">
        <v>50</v>
      </c>
      <c r="B9" s="359"/>
      <c r="C9" s="366">
        <v>17</v>
      </c>
      <c r="D9" s="37"/>
      <c r="E9" s="367">
        <v>14924</v>
      </c>
      <c r="G9" s="366">
        <v>19.7</v>
      </c>
      <c r="H9" s="37"/>
      <c r="I9" s="367">
        <v>9616</v>
      </c>
      <c r="K9" s="366">
        <v>15.6</v>
      </c>
      <c r="L9" s="37"/>
      <c r="M9" s="367">
        <v>13461</v>
      </c>
      <c r="N9" s="365"/>
      <c r="AD9" s="29"/>
      <c r="AF9" s="29"/>
    </row>
    <row r="10" spans="1:32" x14ac:dyDescent="0.2">
      <c r="A10" s="364" t="s">
        <v>51</v>
      </c>
      <c r="B10" s="359"/>
      <c r="C10" s="366">
        <v>17.5</v>
      </c>
      <c r="D10" s="369"/>
      <c r="E10" s="367">
        <v>12104</v>
      </c>
      <c r="G10" s="366">
        <v>20.8</v>
      </c>
      <c r="H10" s="369"/>
      <c r="I10" s="367">
        <v>11834</v>
      </c>
      <c r="K10" s="366">
        <v>16.8</v>
      </c>
      <c r="L10" s="369"/>
      <c r="M10" s="367">
        <v>16373</v>
      </c>
      <c r="N10" s="365"/>
      <c r="AD10" s="29"/>
      <c r="AF10" s="29"/>
    </row>
    <row r="11" spans="1:32" x14ac:dyDescent="0.2">
      <c r="A11" s="364" t="s">
        <v>52</v>
      </c>
      <c r="B11" s="359"/>
      <c r="C11" s="366">
        <v>19.600000000000001</v>
      </c>
      <c r="D11" s="370"/>
      <c r="E11" s="367">
        <v>19362</v>
      </c>
      <c r="G11" s="366">
        <v>20.3</v>
      </c>
      <c r="H11" s="369"/>
      <c r="I11" s="367">
        <v>14942</v>
      </c>
      <c r="K11" s="366">
        <v>17.100000000000001</v>
      </c>
      <c r="L11" s="369"/>
      <c r="M11" s="367">
        <v>18648</v>
      </c>
      <c r="N11" s="371"/>
      <c r="AD11" s="29"/>
      <c r="AF11" s="29"/>
    </row>
    <row r="12" spans="1:32" x14ac:dyDescent="0.2">
      <c r="A12" s="364" t="s">
        <v>71</v>
      </c>
      <c r="B12" s="359"/>
      <c r="C12" s="366">
        <v>17.8</v>
      </c>
      <c r="D12" s="370"/>
      <c r="E12" s="367">
        <v>17671</v>
      </c>
      <c r="G12" s="366">
        <v>19.600000000000001</v>
      </c>
      <c r="H12" s="369"/>
      <c r="I12" s="367">
        <v>11044</v>
      </c>
      <c r="K12" s="366">
        <v>15.6</v>
      </c>
      <c r="L12" s="369"/>
      <c r="M12" s="367">
        <v>13781</v>
      </c>
      <c r="N12" s="371"/>
      <c r="AD12" s="29"/>
      <c r="AF12" s="29"/>
    </row>
    <row r="13" spans="1:32" x14ac:dyDescent="0.2">
      <c r="A13" s="364" t="s">
        <v>53</v>
      </c>
      <c r="B13" s="359"/>
      <c r="C13" s="366">
        <v>17.5</v>
      </c>
      <c r="D13" s="370"/>
      <c r="E13" s="367">
        <v>12991</v>
      </c>
      <c r="G13" s="366">
        <v>19.3</v>
      </c>
      <c r="H13" s="369"/>
      <c r="I13" s="367">
        <v>14412</v>
      </c>
      <c r="K13" s="366">
        <v>15.7</v>
      </c>
      <c r="L13" s="369"/>
      <c r="M13" s="367">
        <v>14143</v>
      </c>
      <c r="N13" s="365"/>
      <c r="AD13" s="29"/>
      <c r="AF13" s="29"/>
    </row>
    <row r="14" spans="1:32" x14ac:dyDescent="0.2">
      <c r="A14" s="364" t="s">
        <v>54</v>
      </c>
      <c r="B14" s="359"/>
      <c r="C14" s="366">
        <v>17.600000000000001</v>
      </c>
      <c r="D14" s="370"/>
      <c r="E14" s="367">
        <v>10472</v>
      </c>
      <c r="G14" s="366">
        <v>20</v>
      </c>
      <c r="H14" s="369"/>
      <c r="I14" s="367">
        <v>9200</v>
      </c>
      <c r="K14" s="366">
        <v>16.100000000000001</v>
      </c>
      <c r="L14" s="369"/>
      <c r="M14" s="367">
        <v>12707</v>
      </c>
      <c r="N14" s="371"/>
      <c r="AD14" s="29"/>
      <c r="AF14" s="29"/>
    </row>
    <row r="15" spans="1:32" x14ac:dyDescent="0.2">
      <c r="A15" s="364" t="s">
        <v>55</v>
      </c>
      <c r="B15" s="359"/>
      <c r="C15" s="366"/>
      <c r="D15" s="370"/>
      <c r="E15" s="367"/>
      <c r="G15" s="366">
        <v>20.399999999999999</v>
      </c>
      <c r="H15" s="369"/>
      <c r="I15" s="367">
        <v>8037</v>
      </c>
      <c r="K15" s="366">
        <v>16.899999999999999</v>
      </c>
      <c r="L15" s="369"/>
      <c r="M15" s="367">
        <v>9603</v>
      </c>
      <c r="N15" s="365"/>
      <c r="AD15" s="29"/>
      <c r="AF15" s="29"/>
    </row>
    <row r="16" spans="1:32" x14ac:dyDescent="0.2">
      <c r="A16" s="364" t="s">
        <v>56</v>
      </c>
      <c r="B16" s="359"/>
      <c r="C16" s="366"/>
      <c r="D16" s="370"/>
      <c r="E16" s="367"/>
      <c r="G16" s="366">
        <v>21.2</v>
      </c>
      <c r="H16" s="369"/>
      <c r="I16" s="367">
        <v>6430</v>
      </c>
      <c r="K16" s="366">
        <v>17.8</v>
      </c>
      <c r="L16" s="369"/>
      <c r="M16" s="367">
        <v>8722</v>
      </c>
      <c r="N16" s="371"/>
      <c r="AD16" s="29"/>
      <c r="AF16" s="29"/>
    </row>
    <row r="17" spans="1:32" x14ac:dyDescent="0.2">
      <c r="A17" s="364" t="s">
        <v>57</v>
      </c>
      <c r="B17" s="359"/>
      <c r="C17" s="372"/>
      <c r="D17" s="370"/>
      <c r="E17" s="367"/>
      <c r="F17" s="373"/>
      <c r="G17" s="372">
        <v>22</v>
      </c>
      <c r="H17" s="369"/>
      <c r="I17" s="367">
        <v>5247</v>
      </c>
      <c r="K17" s="372">
        <v>17.7</v>
      </c>
      <c r="L17" s="369"/>
      <c r="M17" s="367">
        <v>7929</v>
      </c>
      <c r="N17" s="371"/>
      <c r="AD17" s="29"/>
      <c r="AF17" s="29"/>
    </row>
    <row r="18" spans="1:32" x14ac:dyDescent="0.2">
      <c r="A18" s="358"/>
      <c r="B18" s="359"/>
      <c r="D18" s="30"/>
      <c r="E18" s="31"/>
      <c r="F18" s="30"/>
      <c r="H18" s="30"/>
      <c r="I18" s="31"/>
      <c r="J18" s="30"/>
      <c r="L18" s="30"/>
      <c r="M18" s="31"/>
      <c r="N18" s="374"/>
      <c r="AD18" s="29"/>
      <c r="AF18" s="29"/>
    </row>
    <row r="19" spans="1:32" x14ac:dyDescent="0.2">
      <c r="A19" s="358" t="s">
        <v>490</v>
      </c>
      <c r="B19" s="359"/>
      <c r="C19" s="375">
        <f>(C6*E6/E22)+(C7*E7/E22)+(C8*E8/E22)+(C9*E9/E22)+(C10*E10/E22)+(C11*E11/E22)+(C12*E12/E22)+(C13*E13/E22)+(C14*E14/E22)+(C15*E15/E22)+(C16*E16/E22)+(C17*E17/E22)</f>
        <v>17.983130661530989</v>
      </c>
      <c r="D19" s="30"/>
      <c r="E19" s="31"/>
      <c r="F19" s="30"/>
      <c r="G19" s="375"/>
      <c r="H19" s="30"/>
      <c r="I19" s="31"/>
      <c r="J19" s="30"/>
      <c r="L19" s="30"/>
      <c r="M19" s="31"/>
      <c r="N19" s="374"/>
      <c r="AD19" s="29"/>
      <c r="AF19" s="29"/>
    </row>
    <row r="20" spans="1:32" x14ac:dyDescent="0.2">
      <c r="A20" s="358" t="s">
        <v>64</v>
      </c>
      <c r="B20" s="359"/>
      <c r="C20" s="376">
        <v>18</v>
      </c>
      <c r="D20" s="32"/>
      <c r="E20" s="377"/>
      <c r="G20" s="376">
        <v>19.8</v>
      </c>
      <c r="H20" s="32"/>
      <c r="I20" s="377"/>
      <c r="K20" s="376">
        <v>16.100000000000001</v>
      </c>
      <c r="L20" s="32"/>
      <c r="M20" s="377"/>
      <c r="N20" s="365"/>
      <c r="AD20" s="29"/>
      <c r="AF20" s="29"/>
    </row>
    <row r="21" spans="1:32" x14ac:dyDescent="0.2">
      <c r="A21" s="358" t="s">
        <v>58</v>
      </c>
      <c r="B21" s="359"/>
      <c r="C21" s="378"/>
      <c r="E21" s="33">
        <f>AVERAGE(E6:E17)</f>
        <v>13038.777777777777</v>
      </c>
      <c r="G21" s="378"/>
      <c r="I21" s="33">
        <f>AVERAGE(I6:I17)</f>
        <v>9584.0833333333339</v>
      </c>
      <c r="K21" s="378"/>
      <c r="M21" s="33">
        <f>AVERAGE(M6:M17)</f>
        <v>12238.416666666666</v>
      </c>
      <c r="N21" s="365"/>
      <c r="AD21" s="29"/>
      <c r="AF21" s="29"/>
    </row>
    <row r="22" spans="1:32" ht="12.75" thickBot="1" x14ac:dyDescent="0.25">
      <c r="A22" s="379" t="s">
        <v>59</v>
      </c>
      <c r="B22" s="380"/>
      <c r="C22" s="381"/>
      <c r="D22" s="381"/>
      <c r="E22" s="382">
        <f>SUM(E6:E17)</f>
        <v>117349</v>
      </c>
      <c r="F22" s="383"/>
      <c r="G22" s="381"/>
      <c r="H22" s="381"/>
      <c r="I22" s="382">
        <f>SUM(I6:I17)</f>
        <v>115009</v>
      </c>
      <c r="J22" s="383"/>
      <c r="K22" s="381"/>
      <c r="L22" s="381"/>
      <c r="M22" s="382">
        <f>SUM(M6:M17)</f>
        <v>146861</v>
      </c>
      <c r="N22" s="384"/>
      <c r="AD22" s="29"/>
      <c r="AE22" s="27"/>
      <c r="AF22" s="29"/>
    </row>
    <row r="23" spans="1:32" x14ac:dyDescent="0.2">
      <c r="A23" s="27" t="s">
        <v>450</v>
      </c>
      <c r="I23" s="28"/>
      <c r="AD23" s="34"/>
      <c r="AE23" s="27"/>
    </row>
    <row r="24" spans="1:32" x14ac:dyDescent="0.2">
      <c r="A24" s="35" t="s">
        <v>424</v>
      </c>
    </row>
    <row r="25" spans="1:32" ht="12.75" customHeight="1" x14ac:dyDescent="0.2">
      <c r="A25" s="6" t="s">
        <v>483</v>
      </c>
      <c r="C25" s="36"/>
      <c r="G25" s="36"/>
      <c r="K25" s="36"/>
    </row>
    <row r="26" spans="1:32" x14ac:dyDescent="0.2">
      <c r="B26" s="17"/>
      <c r="C26" s="37"/>
      <c r="D26" s="17"/>
      <c r="E26" s="38"/>
      <c r="F26" s="17"/>
      <c r="G26" s="37"/>
      <c r="H26" s="17"/>
      <c r="I26" s="17"/>
      <c r="J26" s="17"/>
      <c r="K26" s="37"/>
      <c r="L26" s="17"/>
      <c r="M26" s="17"/>
    </row>
    <row r="27" spans="1:32" x14ac:dyDescent="0.2">
      <c r="C27" s="16" t="s">
        <v>60</v>
      </c>
      <c r="G27" s="16" t="s">
        <v>60</v>
      </c>
      <c r="K27" s="16" t="s">
        <v>60</v>
      </c>
    </row>
    <row r="28" spans="1:32" ht="15" x14ac:dyDescent="0.2">
      <c r="E28" s="31"/>
      <c r="I28" s="30"/>
      <c r="M28" s="39"/>
    </row>
    <row r="29" spans="1:32" ht="15" x14ac:dyDescent="0.2">
      <c r="M29" s="40"/>
    </row>
    <row r="30" spans="1:32" ht="15" x14ac:dyDescent="0.2">
      <c r="M30" s="40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5"/>
  <sheetViews>
    <sheetView showGridLines="0" zoomScale="120" zoomScaleNormal="120" workbookViewId="0">
      <selection activeCell="J15" sqref="J15"/>
    </sheetView>
  </sheetViews>
  <sheetFormatPr defaultColWidth="8.625" defaultRowHeight="12" x14ac:dyDescent="0.2"/>
  <cols>
    <col min="1" max="1" width="22.375" style="16" customWidth="1"/>
    <col min="2" max="2" width="9.75" style="16" customWidth="1"/>
    <col min="3" max="3" width="2" style="16" customWidth="1"/>
    <col min="4" max="4" width="8.625" style="16" customWidth="1"/>
    <col min="5" max="5" width="2.125" style="16" customWidth="1"/>
    <col min="6" max="6" width="8.75" style="16" customWidth="1"/>
    <col min="7" max="7" width="2" style="16" customWidth="1"/>
    <col min="8" max="8" width="8.625" style="16" customWidth="1"/>
    <col min="9" max="9" width="2.25" style="16" customWidth="1"/>
    <col min="10" max="10" width="7.25" style="16" customWidth="1"/>
    <col min="11" max="11" width="2.375" style="16" customWidth="1"/>
    <col min="12" max="12" width="8" style="16" customWidth="1"/>
    <col min="13" max="13" width="2.125" style="16" customWidth="1"/>
    <col min="14" max="14" width="9.375" style="16" customWidth="1"/>
    <col min="15" max="15" width="2" style="16" customWidth="1"/>
    <col min="16" max="16" width="9.375" style="16" customWidth="1"/>
    <col min="17" max="17" width="2" style="16" customWidth="1"/>
    <col min="18" max="18" width="9.625" style="16" customWidth="1"/>
    <col min="19" max="19" width="1.75" style="16" customWidth="1"/>
    <col min="20" max="20" width="8.625" style="16" customWidth="1"/>
    <col min="21" max="21" width="2.625" style="16" customWidth="1"/>
    <col min="22" max="22" width="9.625" style="16" customWidth="1"/>
    <col min="23" max="23" width="10.625" style="16" customWidth="1"/>
    <col min="24" max="24" width="1.625" style="16" customWidth="1"/>
    <col min="25" max="256" width="8.625" style="16"/>
    <col min="257" max="257" width="20" style="16" customWidth="1"/>
    <col min="258" max="258" width="9.75" style="16" customWidth="1"/>
    <col min="259" max="259" width="2" style="16" customWidth="1"/>
    <col min="260" max="260" width="8.625" style="16" customWidth="1"/>
    <col min="261" max="261" width="2.125" style="16" customWidth="1"/>
    <col min="262" max="262" width="8.75" style="16" customWidth="1"/>
    <col min="263" max="263" width="2" style="16" customWidth="1"/>
    <col min="264" max="264" width="8.625" style="16" customWidth="1"/>
    <col min="265" max="265" width="2.25" style="16" customWidth="1"/>
    <col min="266" max="266" width="7.25" style="16" customWidth="1"/>
    <col min="267" max="267" width="4" style="16" customWidth="1"/>
    <col min="268" max="268" width="8" style="16" customWidth="1"/>
    <col min="269" max="269" width="2.125" style="16" customWidth="1"/>
    <col min="270" max="270" width="9.375" style="16" customWidth="1"/>
    <col min="271" max="271" width="2" style="16" customWidth="1"/>
    <col min="272" max="272" width="9.375" style="16" customWidth="1"/>
    <col min="273" max="273" width="2" style="16" customWidth="1"/>
    <col min="274" max="274" width="9.625" style="16" customWidth="1"/>
    <col min="275" max="275" width="1.75" style="16" customWidth="1"/>
    <col min="276" max="276" width="8.625" style="16" customWidth="1"/>
    <col min="277" max="277" width="2.625" style="16" customWidth="1"/>
    <col min="278" max="278" width="9.625" style="16" customWidth="1"/>
    <col min="279" max="279" width="10.625" style="16" customWidth="1"/>
    <col min="280" max="280" width="1.625" style="16" customWidth="1"/>
    <col min="281" max="512" width="8.625" style="16"/>
    <col min="513" max="513" width="20" style="16" customWidth="1"/>
    <col min="514" max="514" width="9.75" style="16" customWidth="1"/>
    <col min="515" max="515" width="2" style="16" customWidth="1"/>
    <col min="516" max="516" width="8.625" style="16" customWidth="1"/>
    <col min="517" max="517" width="2.125" style="16" customWidth="1"/>
    <col min="518" max="518" width="8.75" style="16" customWidth="1"/>
    <col min="519" max="519" width="2" style="16" customWidth="1"/>
    <col min="520" max="520" width="8.625" style="16" customWidth="1"/>
    <col min="521" max="521" width="2.25" style="16" customWidth="1"/>
    <col min="522" max="522" width="7.25" style="16" customWidth="1"/>
    <col min="523" max="523" width="4" style="16" customWidth="1"/>
    <col min="524" max="524" width="8" style="16" customWidth="1"/>
    <col min="525" max="525" width="2.125" style="16" customWidth="1"/>
    <col min="526" max="526" width="9.375" style="16" customWidth="1"/>
    <col min="527" max="527" width="2" style="16" customWidth="1"/>
    <col min="528" max="528" width="9.375" style="16" customWidth="1"/>
    <col min="529" max="529" width="2" style="16" customWidth="1"/>
    <col min="530" max="530" width="9.625" style="16" customWidth="1"/>
    <col min="531" max="531" width="1.75" style="16" customWidth="1"/>
    <col min="532" max="532" width="8.625" style="16" customWidth="1"/>
    <col min="533" max="533" width="2.625" style="16" customWidth="1"/>
    <col min="534" max="534" width="9.625" style="16" customWidth="1"/>
    <col min="535" max="535" width="10.625" style="16" customWidth="1"/>
    <col min="536" max="536" width="1.625" style="16" customWidth="1"/>
    <col min="537" max="768" width="8.625" style="16"/>
    <col min="769" max="769" width="20" style="16" customWidth="1"/>
    <col min="770" max="770" width="9.75" style="16" customWidth="1"/>
    <col min="771" max="771" width="2" style="16" customWidth="1"/>
    <col min="772" max="772" width="8.625" style="16" customWidth="1"/>
    <col min="773" max="773" width="2.125" style="16" customWidth="1"/>
    <col min="774" max="774" width="8.75" style="16" customWidth="1"/>
    <col min="775" max="775" width="2" style="16" customWidth="1"/>
    <col min="776" max="776" width="8.625" style="16" customWidth="1"/>
    <col min="777" max="777" width="2.25" style="16" customWidth="1"/>
    <col min="778" max="778" width="7.25" style="16" customWidth="1"/>
    <col min="779" max="779" width="4" style="16" customWidth="1"/>
    <col min="780" max="780" width="8" style="16" customWidth="1"/>
    <col min="781" max="781" width="2.125" style="16" customWidth="1"/>
    <col min="782" max="782" width="9.375" style="16" customWidth="1"/>
    <col min="783" max="783" width="2" style="16" customWidth="1"/>
    <col min="784" max="784" width="9.375" style="16" customWidth="1"/>
    <col min="785" max="785" width="2" style="16" customWidth="1"/>
    <col min="786" max="786" width="9.625" style="16" customWidth="1"/>
    <col min="787" max="787" width="1.75" style="16" customWidth="1"/>
    <col min="788" max="788" width="8.625" style="16" customWidth="1"/>
    <col min="789" max="789" width="2.625" style="16" customWidth="1"/>
    <col min="790" max="790" width="9.625" style="16" customWidth="1"/>
    <col min="791" max="791" width="10.625" style="16" customWidth="1"/>
    <col min="792" max="792" width="1.625" style="16" customWidth="1"/>
    <col min="793" max="1024" width="8.625" style="16"/>
    <col min="1025" max="1025" width="20" style="16" customWidth="1"/>
    <col min="1026" max="1026" width="9.75" style="16" customWidth="1"/>
    <col min="1027" max="1027" width="2" style="16" customWidth="1"/>
    <col min="1028" max="1028" width="8.625" style="16" customWidth="1"/>
    <col min="1029" max="1029" width="2.125" style="16" customWidth="1"/>
    <col min="1030" max="1030" width="8.75" style="16" customWidth="1"/>
    <col min="1031" max="1031" width="2" style="16" customWidth="1"/>
    <col min="1032" max="1032" width="8.625" style="16" customWidth="1"/>
    <col min="1033" max="1033" width="2.25" style="16" customWidth="1"/>
    <col min="1034" max="1034" width="7.25" style="16" customWidth="1"/>
    <col min="1035" max="1035" width="4" style="16" customWidth="1"/>
    <col min="1036" max="1036" width="8" style="16" customWidth="1"/>
    <col min="1037" max="1037" width="2.125" style="16" customWidth="1"/>
    <col min="1038" max="1038" width="9.375" style="16" customWidth="1"/>
    <col min="1039" max="1039" width="2" style="16" customWidth="1"/>
    <col min="1040" max="1040" width="9.375" style="16" customWidth="1"/>
    <col min="1041" max="1041" width="2" style="16" customWidth="1"/>
    <col min="1042" max="1042" width="9.625" style="16" customWidth="1"/>
    <col min="1043" max="1043" width="1.75" style="16" customWidth="1"/>
    <col min="1044" max="1044" width="8.625" style="16" customWidth="1"/>
    <col min="1045" max="1045" width="2.625" style="16" customWidth="1"/>
    <col min="1046" max="1046" width="9.625" style="16" customWidth="1"/>
    <col min="1047" max="1047" width="10.625" style="16" customWidth="1"/>
    <col min="1048" max="1048" width="1.625" style="16" customWidth="1"/>
    <col min="1049" max="1280" width="8.625" style="16"/>
    <col min="1281" max="1281" width="20" style="16" customWidth="1"/>
    <col min="1282" max="1282" width="9.75" style="16" customWidth="1"/>
    <col min="1283" max="1283" width="2" style="16" customWidth="1"/>
    <col min="1284" max="1284" width="8.625" style="16" customWidth="1"/>
    <col min="1285" max="1285" width="2.125" style="16" customWidth="1"/>
    <col min="1286" max="1286" width="8.75" style="16" customWidth="1"/>
    <col min="1287" max="1287" width="2" style="16" customWidth="1"/>
    <col min="1288" max="1288" width="8.625" style="16" customWidth="1"/>
    <col min="1289" max="1289" width="2.25" style="16" customWidth="1"/>
    <col min="1290" max="1290" width="7.25" style="16" customWidth="1"/>
    <col min="1291" max="1291" width="4" style="16" customWidth="1"/>
    <col min="1292" max="1292" width="8" style="16" customWidth="1"/>
    <col min="1293" max="1293" width="2.125" style="16" customWidth="1"/>
    <col min="1294" max="1294" width="9.375" style="16" customWidth="1"/>
    <col min="1295" max="1295" width="2" style="16" customWidth="1"/>
    <col min="1296" max="1296" width="9.375" style="16" customWidth="1"/>
    <col min="1297" max="1297" width="2" style="16" customWidth="1"/>
    <col min="1298" max="1298" width="9.625" style="16" customWidth="1"/>
    <col min="1299" max="1299" width="1.75" style="16" customWidth="1"/>
    <col min="1300" max="1300" width="8.625" style="16" customWidth="1"/>
    <col min="1301" max="1301" width="2.625" style="16" customWidth="1"/>
    <col min="1302" max="1302" width="9.625" style="16" customWidth="1"/>
    <col min="1303" max="1303" width="10.625" style="16" customWidth="1"/>
    <col min="1304" max="1304" width="1.625" style="16" customWidth="1"/>
    <col min="1305" max="1536" width="8.625" style="16"/>
    <col min="1537" max="1537" width="20" style="16" customWidth="1"/>
    <col min="1538" max="1538" width="9.75" style="16" customWidth="1"/>
    <col min="1539" max="1539" width="2" style="16" customWidth="1"/>
    <col min="1540" max="1540" width="8.625" style="16" customWidth="1"/>
    <col min="1541" max="1541" width="2.125" style="16" customWidth="1"/>
    <col min="1542" max="1542" width="8.75" style="16" customWidth="1"/>
    <col min="1543" max="1543" width="2" style="16" customWidth="1"/>
    <col min="1544" max="1544" width="8.625" style="16" customWidth="1"/>
    <col min="1545" max="1545" width="2.25" style="16" customWidth="1"/>
    <col min="1546" max="1546" width="7.25" style="16" customWidth="1"/>
    <col min="1547" max="1547" width="4" style="16" customWidth="1"/>
    <col min="1548" max="1548" width="8" style="16" customWidth="1"/>
    <col min="1549" max="1549" width="2.125" style="16" customWidth="1"/>
    <col min="1550" max="1550" width="9.375" style="16" customWidth="1"/>
    <col min="1551" max="1551" width="2" style="16" customWidth="1"/>
    <col min="1552" max="1552" width="9.375" style="16" customWidth="1"/>
    <col min="1553" max="1553" width="2" style="16" customWidth="1"/>
    <col min="1554" max="1554" width="9.625" style="16" customWidth="1"/>
    <col min="1555" max="1555" width="1.75" style="16" customWidth="1"/>
    <col min="1556" max="1556" width="8.625" style="16" customWidth="1"/>
    <col min="1557" max="1557" width="2.625" style="16" customWidth="1"/>
    <col min="1558" max="1558" width="9.625" style="16" customWidth="1"/>
    <col min="1559" max="1559" width="10.625" style="16" customWidth="1"/>
    <col min="1560" max="1560" width="1.625" style="16" customWidth="1"/>
    <col min="1561" max="1792" width="8.625" style="16"/>
    <col min="1793" max="1793" width="20" style="16" customWidth="1"/>
    <col min="1794" max="1794" width="9.75" style="16" customWidth="1"/>
    <col min="1795" max="1795" width="2" style="16" customWidth="1"/>
    <col min="1796" max="1796" width="8.625" style="16" customWidth="1"/>
    <col min="1797" max="1797" width="2.125" style="16" customWidth="1"/>
    <col min="1798" max="1798" width="8.75" style="16" customWidth="1"/>
    <col min="1799" max="1799" width="2" style="16" customWidth="1"/>
    <col min="1800" max="1800" width="8.625" style="16" customWidth="1"/>
    <col min="1801" max="1801" width="2.25" style="16" customWidth="1"/>
    <col min="1802" max="1802" width="7.25" style="16" customWidth="1"/>
    <col min="1803" max="1803" width="4" style="16" customWidth="1"/>
    <col min="1804" max="1804" width="8" style="16" customWidth="1"/>
    <col min="1805" max="1805" width="2.125" style="16" customWidth="1"/>
    <col min="1806" max="1806" width="9.375" style="16" customWidth="1"/>
    <col min="1807" max="1807" width="2" style="16" customWidth="1"/>
    <col min="1808" max="1808" width="9.375" style="16" customWidth="1"/>
    <col min="1809" max="1809" width="2" style="16" customWidth="1"/>
    <col min="1810" max="1810" width="9.625" style="16" customWidth="1"/>
    <col min="1811" max="1811" width="1.75" style="16" customWidth="1"/>
    <col min="1812" max="1812" width="8.625" style="16" customWidth="1"/>
    <col min="1813" max="1813" width="2.625" style="16" customWidth="1"/>
    <col min="1814" max="1814" width="9.625" style="16" customWidth="1"/>
    <col min="1815" max="1815" width="10.625" style="16" customWidth="1"/>
    <col min="1816" max="1816" width="1.625" style="16" customWidth="1"/>
    <col min="1817" max="2048" width="8.625" style="16"/>
    <col min="2049" max="2049" width="20" style="16" customWidth="1"/>
    <col min="2050" max="2050" width="9.75" style="16" customWidth="1"/>
    <col min="2051" max="2051" width="2" style="16" customWidth="1"/>
    <col min="2052" max="2052" width="8.625" style="16" customWidth="1"/>
    <col min="2053" max="2053" width="2.125" style="16" customWidth="1"/>
    <col min="2054" max="2054" width="8.75" style="16" customWidth="1"/>
    <col min="2055" max="2055" width="2" style="16" customWidth="1"/>
    <col min="2056" max="2056" width="8.625" style="16" customWidth="1"/>
    <col min="2057" max="2057" width="2.25" style="16" customWidth="1"/>
    <col min="2058" max="2058" width="7.25" style="16" customWidth="1"/>
    <col min="2059" max="2059" width="4" style="16" customWidth="1"/>
    <col min="2060" max="2060" width="8" style="16" customWidth="1"/>
    <col min="2061" max="2061" width="2.125" style="16" customWidth="1"/>
    <col min="2062" max="2062" width="9.375" style="16" customWidth="1"/>
    <col min="2063" max="2063" width="2" style="16" customWidth="1"/>
    <col min="2064" max="2064" width="9.375" style="16" customWidth="1"/>
    <col min="2065" max="2065" width="2" style="16" customWidth="1"/>
    <col min="2066" max="2066" width="9.625" style="16" customWidth="1"/>
    <col min="2067" max="2067" width="1.75" style="16" customWidth="1"/>
    <col min="2068" max="2068" width="8.625" style="16" customWidth="1"/>
    <col min="2069" max="2069" width="2.625" style="16" customWidth="1"/>
    <col min="2070" max="2070" width="9.625" style="16" customWidth="1"/>
    <col min="2071" max="2071" width="10.625" style="16" customWidth="1"/>
    <col min="2072" max="2072" width="1.625" style="16" customWidth="1"/>
    <col min="2073" max="2304" width="8.625" style="16"/>
    <col min="2305" max="2305" width="20" style="16" customWidth="1"/>
    <col min="2306" max="2306" width="9.75" style="16" customWidth="1"/>
    <col min="2307" max="2307" width="2" style="16" customWidth="1"/>
    <col min="2308" max="2308" width="8.625" style="16" customWidth="1"/>
    <col min="2309" max="2309" width="2.125" style="16" customWidth="1"/>
    <col min="2310" max="2310" width="8.75" style="16" customWidth="1"/>
    <col min="2311" max="2311" width="2" style="16" customWidth="1"/>
    <col min="2312" max="2312" width="8.625" style="16" customWidth="1"/>
    <col min="2313" max="2313" width="2.25" style="16" customWidth="1"/>
    <col min="2314" max="2314" width="7.25" style="16" customWidth="1"/>
    <col min="2315" max="2315" width="4" style="16" customWidth="1"/>
    <col min="2316" max="2316" width="8" style="16" customWidth="1"/>
    <col min="2317" max="2317" width="2.125" style="16" customWidth="1"/>
    <col min="2318" max="2318" width="9.375" style="16" customWidth="1"/>
    <col min="2319" max="2319" width="2" style="16" customWidth="1"/>
    <col min="2320" max="2320" width="9.375" style="16" customWidth="1"/>
    <col min="2321" max="2321" width="2" style="16" customWidth="1"/>
    <col min="2322" max="2322" width="9.625" style="16" customWidth="1"/>
    <col min="2323" max="2323" width="1.75" style="16" customWidth="1"/>
    <col min="2324" max="2324" width="8.625" style="16" customWidth="1"/>
    <col min="2325" max="2325" width="2.625" style="16" customWidth="1"/>
    <col min="2326" max="2326" width="9.625" style="16" customWidth="1"/>
    <col min="2327" max="2327" width="10.625" style="16" customWidth="1"/>
    <col min="2328" max="2328" width="1.625" style="16" customWidth="1"/>
    <col min="2329" max="2560" width="8.625" style="16"/>
    <col min="2561" max="2561" width="20" style="16" customWidth="1"/>
    <col min="2562" max="2562" width="9.75" style="16" customWidth="1"/>
    <col min="2563" max="2563" width="2" style="16" customWidth="1"/>
    <col min="2564" max="2564" width="8.625" style="16" customWidth="1"/>
    <col min="2565" max="2565" width="2.125" style="16" customWidth="1"/>
    <col min="2566" max="2566" width="8.75" style="16" customWidth="1"/>
    <col min="2567" max="2567" width="2" style="16" customWidth="1"/>
    <col min="2568" max="2568" width="8.625" style="16" customWidth="1"/>
    <col min="2569" max="2569" width="2.25" style="16" customWidth="1"/>
    <col min="2570" max="2570" width="7.25" style="16" customWidth="1"/>
    <col min="2571" max="2571" width="4" style="16" customWidth="1"/>
    <col min="2572" max="2572" width="8" style="16" customWidth="1"/>
    <col min="2573" max="2573" width="2.125" style="16" customWidth="1"/>
    <col min="2574" max="2574" width="9.375" style="16" customWidth="1"/>
    <col min="2575" max="2575" width="2" style="16" customWidth="1"/>
    <col min="2576" max="2576" width="9.375" style="16" customWidth="1"/>
    <col min="2577" max="2577" width="2" style="16" customWidth="1"/>
    <col min="2578" max="2578" width="9.625" style="16" customWidth="1"/>
    <col min="2579" max="2579" width="1.75" style="16" customWidth="1"/>
    <col min="2580" max="2580" width="8.625" style="16" customWidth="1"/>
    <col min="2581" max="2581" width="2.625" style="16" customWidth="1"/>
    <col min="2582" max="2582" width="9.625" style="16" customWidth="1"/>
    <col min="2583" max="2583" width="10.625" style="16" customWidth="1"/>
    <col min="2584" max="2584" width="1.625" style="16" customWidth="1"/>
    <col min="2585" max="2816" width="8.625" style="16"/>
    <col min="2817" max="2817" width="20" style="16" customWidth="1"/>
    <col min="2818" max="2818" width="9.75" style="16" customWidth="1"/>
    <col min="2819" max="2819" width="2" style="16" customWidth="1"/>
    <col min="2820" max="2820" width="8.625" style="16" customWidth="1"/>
    <col min="2821" max="2821" width="2.125" style="16" customWidth="1"/>
    <col min="2822" max="2822" width="8.75" style="16" customWidth="1"/>
    <col min="2823" max="2823" width="2" style="16" customWidth="1"/>
    <col min="2824" max="2824" width="8.625" style="16" customWidth="1"/>
    <col min="2825" max="2825" width="2.25" style="16" customWidth="1"/>
    <col min="2826" max="2826" width="7.25" style="16" customWidth="1"/>
    <col min="2827" max="2827" width="4" style="16" customWidth="1"/>
    <col min="2828" max="2828" width="8" style="16" customWidth="1"/>
    <col min="2829" max="2829" width="2.125" style="16" customWidth="1"/>
    <col min="2830" max="2830" width="9.375" style="16" customWidth="1"/>
    <col min="2831" max="2831" width="2" style="16" customWidth="1"/>
    <col min="2832" max="2832" width="9.375" style="16" customWidth="1"/>
    <col min="2833" max="2833" width="2" style="16" customWidth="1"/>
    <col min="2834" max="2834" width="9.625" style="16" customWidth="1"/>
    <col min="2835" max="2835" width="1.75" style="16" customWidth="1"/>
    <col min="2836" max="2836" width="8.625" style="16" customWidth="1"/>
    <col min="2837" max="2837" width="2.625" style="16" customWidth="1"/>
    <col min="2838" max="2838" width="9.625" style="16" customWidth="1"/>
    <col min="2839" max="2839" width="10.625" style="16" customWidth="1"/>
    <col min="2840" max="2840" width="1.625" style="16" customWidth="1"/>
    <col min="2841" max="3072" width="8.625" style="16"/>
    <col min="3073" max="3073" width="20" style="16" customWidth="1"/>
    <col min="3074" max="3074" width="9.75" style="16" customWidth="1"/>
    <col min="3075" max="3075" width="2" style="16" customWidth="1"/>
    <col min="3076" max="3076" width="8.625" style="16" customWidth="1"/>
    <col min="3077" max="3077" width="2.125" style="16" customWidth="1"/>
    <col min="3078" max="3078" width="8.75" style="16" customWidth="1"/>
    <col min="3079" max="3079" width="2" style="16" customWidth="1"/>
    <col min="3080" max="3080" width="8.625" style="16" customWidth="1"/>
    <col min="3081" max="3081" width="2.25" style="16" customWidth="1"/>
    <col min="3082" max="3082" width="7.25" style="16" customWidth="1"/>
    <col min="3083" max="3083" width="4" style="16" customWidth="1"/>
    <col min="3084" max="3084" width="8" style="16" customWidth="1"/>
    <col min="3085" max="3085" width="2.125" style="16" customWidth="1"/>
    <col min="3086" max="3086" width="9.375" style="16" customWidth="1"/>
    <col min="3087" max="3087" width="2" style="16" customWidth="1"/>
    <col min="3088" max="3088" width="9.375" style="16" customWidth="1"/>
    <col min="3089" max="3089" width="2" style="16" customWidth="1"/>
    <col min="3090" max="3090" width="9.625" style="16" customWidth="1"/>
    <col min="3091" max="3091" width="1.75" style="16" customWidth="1"/>
    <col min="3092" max="3092" width="8.625" style="16" customWidth="1"/>
    <col min="3093" max="3093" width="2.625" style="16" customWidth="1"/>
    <col min="3094" max="3094" width="9.625" style="16" customWidth="1"/>
    <col min="3095" max="3095" width="10.625" style="16" customWidth="1"/>
    <col min="3096" max="3096" width="1.625" style="16" customWidth="1"/>
    <col min="3097" max="3328" width="8.625" style="16"/>
    <col min="3329" max="3329" width="20" style="16" customWidth="1"/>
    <col min="3330" max="3330" width="9.75" style="16" customWidth="1"/>
    <col min="3331" max="3331" width="2" style="16" customWidth="1"/>
    <col min="3332" max="3332" width="8.625" style="16" customWidth="1"/>
    <col min="3333" max="3333" width="2.125" style="16" customWidth="1"/>
    <col min="3334" max="3334" width="8.75" style="16" customWidth="1"/>
    <col min="3335" max="3335" width="2" style="16" customWidth="1"/>
    <col min="3336" max="3336" width="8.625" style="16" customWidth="1"/>
    <col min="3337" max="3337" width="2.25" style="16" customWidth="1"/>
    <col min="3338" max="3338" width="7.25" style="16" customWidth="1"/>
    <col min="3339" max="3339" width="4" style="16" customWidth="1"/>
    <col min="3340" max="3340" width="8" style="16" customWidth="1"/>
    <col min="3341" max="3341" width="2.125" style="16" customWidth="1"/>
    <col min="3342" max="3342" width="9.375" style="16" customWidth="1"/>
    <col min="3343" max="3343" width="2" style="16" customWidth="1"/>
    <col min="3344" max="3344" width="9.375" style="16" customWidth="1"/>
    <col min="3345" max="3345" width="2" style="16" customWidth="1"/>
    <col min="3346" max="3346" width="9.625" style="16" customWidth="1"/>
    <col min="3347" max="3347" width="1.75" style="16" customWidth="1"/>
    <col min="3348" max="3348" width="8.625" style="16" customWidth="1"/>
    <col min="3349" max="3349" width="2.625" style="16" customWidth="1"/>
    <col min="3350" max="3350" width="9.625" style="16" customWidth="1"/>
    <col min="3351" max="3351" width="10.625" style="16" customWidth="1"/>
    <col min="3352" max="3352" width="1.625" style="16" customWidth="1"/>
    <col min="3353" max="3584" width="8.625" style="16"/>
    <col min="3585" max="3585" width="20" style="16" customWidth="1"/>
    <col min="3586" max="3586" width="9.75" style="16" customWidth="1"/>
    <col min="3587" max="3587" width="2" style="16" customWidth="1"/>
    <col min="3588" max="3588" width="8.625" style="16" customWidth="1"/>
    <col min="3589" max="3589" width="2.125" style="16" customWidth="1"/>
    <col min="3590" max="3590" width="8.75" style="16" customWidth="1"/>
    <col min="3591" max="3591" width="2" style="16" customWidth="1"/>
    <col min="3592" max="3592" width="8.625" style="16" customWidth="1"/>
    <col min="3593" max="3593" width="2.25" style="16" customWidth="1"/>
    <col min="3594" max="3594" width="7.25" style="16" customWidth="1"/>
    <col min="3595" max="3595" width="4" style="16" customWidth="1"/>
    <col min="3596" max="3596" width="8" style="16" customWidth="1"/>
    <col min="3597" max="3597" width="2.125" style="16" customWidth="1"/>
    <col min="3598" max="3598" width="9.375" style="16" customWidth="1"/>
    <col min="3599" max="3599" width="2" style="16" customWidth="1"/>
    <col min="3600" max="3600" width="9.375" style="16" customWidth="1"/>
    <col min="3601" max="3601" width="2" style="16" customWidth="1"/>
    <col min="3602" max="3602" width="9.625" style="16" customWidth="1"/>
    <col min="3603" max="3603" width="1.75" style="16" customWidth="1"/>
    <col min="3604" max="3604" width="8.625" style="16" customWidth="1"/>
    <col min="3605" max="3605" width="2.625" style="16" customWidth="1"/>
    <col min="3606" max="3606" width="9.625" style="16" customWidth="1"/>
    <col min="3607" max="3607" width="10.625" style="16" customWidth="1"/>
    <col min="3608" max="3608" width="1.625" style="16" customWidth="1"/>
    <col min="3609" max="3840" width="8.625" style="16"/>
    <col min="3841" max="3841" width="20" style="16" customWidth="1"/>
    <col min="3842" max="3842" width="9.75" style="16" customWidth="1"/>
    <col min="3843" max="3843" width="2" style="16" customWidth="1"/>
    <col min="3844" max="3844" width="8.625" style="16" customWidth="1"/>
    <col min="3845" max="3845" width="2.125" style="16" customWidth="1"/>
    <col min="3846" max="3846" width="8.75" style="16" customWidth="1"/>
    <col min="3847" max="3847" width="2" style="16" customWidth="1"/>
    <col min="3848" max="3848" width="8.625" style="16" customWidth="1"/>
    <col min="3849" max="3849" width="2.25" style="16" customWidth="1"/>
    <col min="3850" max="3850" width="7.25" style="16" customWidth="1"/>
    <col min="3851" max="3851" width="4" style="16" customWidth="1"/>
    <col min="3852" max="3852" width="8" style="16" customWidth="1"/>
    <col min="3853" max="3853" width="2.125" style="16" customWidth="1"/>
    <col min="3854" max="3854" width="9.375" style="16" customWidth="1"/>
    <col min="3855" max="3855" width="2" style="16" customWidth="1"/>
    <col min="3856" max="3856" width="9.375" style="16" customWidth="1"/>
    <col min="3857" max="3857" width="2" style="16" customWidth="1"/>
    <col min="3858" max="3858" width="9.625" style="16" customWidth="1"/>
    <col min="3859" max="3859" width="1.75" style="16" customWidth="1"/>
    <col min="3860" max="3860" width="8.625" style="16" customWidth="1"/>
    <col min="3861" max="3861" width="2.625" style="16" customWidth="1"/>
    <col min="3862" max="3862" width="9.625" style="16" customWidth="1"/>
    <col min="3863" max="3863" width="10.625" style="16" customWidth="1"/>
    <col min="3864" max="3864" width="1.625" style="16" customWidth="1"/>
    <col min="3865" max="4096" width="8.625" style="16"/>
    <col min="4097" max="4097" width="20" style="16" customWidth="1"/>
    <col min="4098" max="4098" width="9.75" style="16" customWidth="1"/>
    <col min="4099" max="4099" width="2" style="16" customWidth="1"/>
    <col min="4100" max="4100" width="8.625" style="16" customWidth="1"/>
    <col min="4101" max="4101" width="2.125" style="16" customWidth="1"/>
    <col min="4102" max="4102" width="8.75" style="16" customWidth="1"/>
    <col min="4103" max="4103" width="2" style="16" customWidth="1"/>
    <col min="4104" max="4104" width="8.625" style="16" customWidth="1"/>
    <col min="4105" max="4105" width="2.25" style="16" customWidth="1"/>
    <col min="4106" max="4106" width="7.25" style="16" customWidth="1"/>
    <col min="4107" max="4107" width="4" style="16" customWidth="1"/>
    <col min="4108" max="4108" width="8" style="16" customWidth="1"/>
    <col min="4109" max="4109" width="2.125" style="16" customWidth="1"/>
    <col min="4110" max="4110" width="9.375" style="16" customWidth="1"/>
    <col min="4111" max="4111" width="2" style="16" customWidth="1"/>
    <col min="4112" max="4112" width="9.375" style="16" customWidth="1"/>
    <col min="4113" max="4113" width="2" style="16" customWidth="1"/>
    <col min="4114" max="4114" width="9.625" style="16" customWidth="1"/>
    <col min="4115" max="4115" width="1.75" style="16" customWidth="1"/>
    <col min="4116" max="4116" width="8.625" style="16" customWidth="1"/>
    <col min="4117" max="4117" width="2.625" style="16" customWidth="1"/>
    <col min="4118" max="4118" width="9.625" style="16" customWidth="1"/>
    <col min="4119" max="4119" width="10.625" style="16" customWidth="1"/>
    <col min="4120" max="4120" width="1.625" style="16" customWidth="1"/>
    <col min="4121" max="4352" width="8.625" style="16"/>
    <col min="4353" max="4353" width="20" style="16" customWidth="1"/>
    <col min="4354" max="4354" width="9.75" style="16" customWidth="1"/>
    <col min="4355" max="4355" width="2" style="16" customWidth="1"/>
    <col min="4356" max="4356" width="8.625" style="16" customWidth="1"/>
    <col min="4357" max="4357" width="2.125" style="16" customWidth="1"/>
    <col min="4358" max="4358" width="8.75" style="16" customWidth="1"/>
    <col min="4359" max="4359" width="2" style="16" customWidth="1"/>
    <col min="4360" max="4360" width="8.625" style="16" customWidth="1"/>
    <col min="4361" max="4361" width="2.25" style="16" customWidth="1"/>
    <col min="4362" max="4362" width="7.25" style="16" customWidth="1"/>
    <col min="4363" max="4363" width="4" style="16" customWidth="1"/>
    <col min="4364" max="4364" width="8" style="16" customWidth="1"/>
    <col min="4365" max="4365" width="2.125" style="16" customWidth="1"/>
    <col min="4366" max="4366" width="9.375" style="16" customWidth="1"/>
    <col min="4367" max="4367" width="2" style="16" customWidth="1"/>
    <col min="4368" max="4368" width="9.375" style="16" customWidth="1"/>
    <col min="4369" max="4369" width="2" style="16" customWidth="1"/>
    <col min="4370" max="4370" width="9.625" style="16" customWidth="1"/>
    <col min="4371" max="4371" width="1.75" style="16" customWidth="1"/>
    <col min="4372" max="4372" width="8.625" style="16" customWidth="1"/>
    <col min="4373" max="4373" width="2.625" style="16" customWidth="1"/>
    <col min="4374" max="4374" width="9.625" style="16" customWidth="1"/>
    <col min="4375" max="4375" width="10.625" style="16" customWidth="1"/>
    <col min="4376" max="4376" width="1.625" style="16" customWidth="1"/>
    <col min="4377" max="4608" width="8.625" style="16"/>
    <col min="4609" max="4609" width="20" style="16" customWidth="1"/>
    <col min="4610" max="4610" width="9.75" style="16" customWidth="1"/>
    <col min="4611" max="4611" width="2" style="16" customWidth="1"/>
    <col min="4612" max="4612" width="8.625" style="16" customWidth="1"/>
    <col min="4613" max="4613" width="2.125" style="16" customWidth="1"/>
    <col min="4614" max="4614" width="8.75" style="16" customWidth="1"/>
    <col min="4615" max="4615" width="2" style="16" customWidth="1"/>
    <col min="4616" max="4616" width="8.625" style="16" customWidth="1"/>
    <col min="4617" max="4617" width="2.25" style="16" customWidth="1"/>
    <col min="4618" max="4618" width="7.25" style="16" customWidth="1"/>
    <col min="4619" max="4619" width="4" style="16" customWidth="1"/>
    <col min="4620" max="4620" width="8" style="16" customWidth="1"/>
    <col min="4621" max="4621" width="2.125" style="16" customWidth="1"/>
    <col min="4622" max="4622" width="9.375" style="16" customWidth="1"/>
    <col min="4623" max="4623" width="2" style="16" customWidth="1"/>
    <col min="4624" max="4624" width="9.375" style="16" customWidth="1"/>
    <col min="4625" max="4625" width="2" style="16" customWidth="1"/>
    <col min="4626" max="4626" width="9.625" style="16" customWidth="1"/>
    <col min="4627" max="4627" width="1.75" style="16" customWidth="1"/>
    <col min="4628" max="4628" width="8.625" style="16" customWidth="1"/>
    <col min="4629" max="4629" width="2.625" style="16" customWidth="1"/>
    <col min="4630" max="4630" width="9.625" style="16" customWidth="1"/>
    <col min="4631" max="4631" width="10.625" style="16" customWidth="1"/>
    <col min="4632" max="4632" width="1.625" style="16" customWidth="1"/>
    <col min="4633" max="4864" width="8.625" style="16"/>
    <col min="4865" max="4865" width="20" style="16" customWidth="1"/>
    <col min="4866" max="4866" width="9.75" style="16" customWidth="1"/>
    <col min="4867" max="4867" width="2" style="16" customWidth="1"/>
    <col min="4868" max="4868" width="8.625" style="16" customWidth="1"/>
    <col min="4869" max="4869" width="2.125" style="16" customWidth="1"/>
    <col min="4870" max="4870" width="8.75" style="16" customWidth="1"/>
    <col min="4871" max="4871" width="2" style="16" customWidth="1"/>
    <col min="4872" max="4872" width="8.625" style="16" customWidth="1"/>
    <col min="4873" max="4873" width="2.25" style="16" customWidth="1"/>
    <col min="4874" max="4874" width="7.25" style="16" customWidth="1"/>
    <col min="4875" max="4875" width="4" style="16" customWidth="1"/>
    <col min="4876" max="4876" width="8" style="16" customWidth="1"/>
    <col min="4877" max="4877" width="2.125" style="16" customWidth="1"/>
    <col min="4878" max="4878" width="9.375" style="16" customWidth="1"/>
    <col min="4879" max="4879" width="2" style="16" customWidth="1"/>
    <col min="4880" max="4880" width="9.375" style="16" customWidth="1"/>
    <col min="4881" max="4881" width="2" style="16" customWidth="1"/>
    <col min="4882" max="4882" width="9.625" style="16" customWidth="1"/>
    <col min="4883" max="4883" width="1.75" style="16" customWidth="1"/>
    <col min="4884" max="4884" width="8.625" style="16" customWidth="1"/>
    <col min="4885" max="4885" width="2.625" style="16" customWidth="1"/>
    <col min="4886" max="4886" width="9.625" style="16" customWidth="1"/>
    <col min="4887" max="4887" width="10.625" style="16" customWidth="1"/>
    <col min="4888" max="4888" width="1.625" style="16" customWidth="1"/>
    <col min="4889" max="5120" width="8.625" style="16"/>
    <col min="5121" max="5121" width="20" style="16" customWidth="1"/>
    <col min="5122" max="5122" width="9.75" style="16" customWidth="1"/>
    <col min="5123" max="5123" width="2" style="16" customWidth="1"/>
    <col min="5124" max="5124" width="8.625" style="16" customWidth="1"/>
    <col min="5125" max="5125" width="2.125" style="16" customWidth="1"/>
    <col min="5126" max="5126" width="8.75" style="16" customWidth="1"/>
    <col min="5127" max="5127" width="2" style="16" customWidth="1"/>
    <col min="5128" max="5128" width="8.625" style="16" customWidth="1"/>
    <col min="5129" max="5129" width="2.25" style="16" customWidth="1"/>
    <col min="5130" max="5130" width="7.25" style="16" customWidth="1"/>
    <col min="5131" max="5131" width="4" style="16" customWidth="1"/>
    <col min="5132" max="5132" width="8" style="16" customWidth="1"/>
    <col min="5133" max="5133" width="2.125" style="16" customWidth="1"/>
    <col min="5134" max="5134" width="9.375" style="16" customWidth="1"/>
    <col min="5135" max="5135" width="2" style="16" customWidth="1"/>
    <col min="5136" max="5136" width="9.375" style="16" customWidth="1"/>
    <col min="5137" max="5137" width="2" style="16" customWidth="1"/>
    <col min="5138" max="5138" width="9.625" style="16" customWidth="1"/>
    <col min="5139" max="5139" width="1.75" style="16" customWidth="1"/>
    <col min="5140" max="5140" width="8.625" style="16" customWidth="1"/>
    <col min="5141" max="5141" width="2.625" style="16" customWidth="1"/>
    <col min="5142" max="5142" width="9.625" style="16" customWidth="1"/>
    <col min="5143" max="5143" width="10.625" style="16" customWidth="1"/>
    <col min="5144" max="5144" width="1.625" style="16" customWidth="1"/>
    <col min="5145" max="5376" width="8.625" style="16"/>
    <col min="5377" max="5377" width="20" style="16" customWidth="1"/>
    <col min="5378" max="5378" width="9.75" style="16" customWidth="1"/>
    <col min="5379" max="5379" width="2" style="16" customWidth="1"/>
    <col min="5380" max="5380" width="8.625" style="16" customWidth="1"/>
    <col min="5381" max="5381" width="2.125" style="16" customWidth="1"/>
    <col min="5382" max="5382" width="8.75" style="16" customWidth="1"/>
    <col min="5383" max="5383" width="2" style="16" customWidth="1"/>
    <col min="5384" max="5384" width="8.625" style="16" customWidth="1"/>
    <col min="5385" max="5385" width="2.25" style="16" customWidth="1"/>
    <col min="5386" max="5386" width="7.25" style="16" customWidth="1"/>
    <col min="5387" max="5387" width="4" style="16" customWidth="1"/>
    <col min="5388" max="5388" width="8" style="16" customWidth="1"/>
    <col min="5389" max="5389" width="2.125" style="16" customWidth="1"/>
    <col min="5390" max="5390" width="9.375" style="16" customWidth="1"/>
    <col min="5391" max="5391" width="2" style="16" customWidth="1"/>
    <col min="5392" max="5392" width="9.375" style="16" customWidth="1"/>
    <col min="5393" max="5393" width="2" style="16" customWidth="1"/>
    <col min="5394" max="5394" width="9.625" style="16" customWidth="1"/>
    <col min="5395" max="5395" width="1.75" style="16" customWidth="1"/>
    <col min="5396" max="5396" width="8.625" style="16" customWidth="1"/>
    <col min="5397" max="5397" width="2.625" style="16" customWidth="1"/>
    <col min="5398" max="5398" width="9.625" style="16" customWidth="1"/>
    <col min="5399" max="5399" width="10.625" style="16" customWidth="1"/>
    <col min="5400" max="5400" width="1.625" style="16" customWidth="1"/>
    <col min="5401" max="5632" width="8.625" style="16"/>
    <col min="5633" max="5633" width="20" style="16" customWidth="1"/>
    <col min="5634" max="5634" width="9.75" style="16" customWidth="1"/>
    <col min="5635" max="5635" width="2" style="16" customWidth="1"/>
    <col min="5636" max="5636" width="8.625" style="16" customWidth="1"/>
    <col min="5637" max="5637" width="2.125" style="16" customWidth="1"/>
    <col min="5638" max="5638" width="8.75" style="16" customWidth="1"/>
    <col min="5639" max="5639" width="2" style="16" customWidth="1"/>
    <col min="5640" max="5640" width="8.625" style="16" customWidth="1"/>
    <col min="5641" max="5641" width="2.25" style="16" customWidth="1"/>
    <col min="5642" max="5642" width="7.25" style="16" customWidth="1"/>
    <col min="5643" max="5643" width="4" style="16" customWidth="1"/>
    <col min="5644" max="5644" width="8" style="16" customWidth="1"/>
    <col min="5645" max="5645" width="2.125" style="16" customWidth="1"/>
    <col min="5646" max="5646" width="9.375" style="16" customWidth="1"/>
    <col min="5647" max="5647" width="2" style="16" customWidth="1"/>
    <col min="5648" max="5648" width="9.375" style="16" customWidth="1"/>
    <col min="5649" max="5649" width="2" style="16" customWidth="1"/>
    <col min="5650" max="5650" width="9.625" style="16" customWidth="1"/>
    <col min="5651" max="5651" width="1.75" style="16" customWidth="1"/>
    <col min="5652" max="5652" width="8.625" style="16" customWidth="1"/>
    <col min="5653" max="5653" width="2.625" style="16" customWidth="1"/>
    <col min="5654" max="5654" width="9.625" style="16" customWidth="1"/>
    <col min="5655" max="5655" width="10.625" style="16" customWidth="1"/>
    <col min="5656" max="5656" width="1.625" style="16" customWidth="1"/>
    <col min="5657" max="5888" width="8.625" style="16"/>
    <col min="5889" max="5889" width="20" style="16" customWidth="1"/>
    <col min="5890" max="5890" width="9.75" style="16" customWidth="1"/>
    <col min="5891" max="5891" width="2" style="16" customWidth="1"/>
    <col min="5892" max="5892" width="8.625" style="16" customWidth="1"/>
    <col min="5893" max="5893" width="2.125" style="16" customWidth="1"/>
    <col min="5894" max="5894" width="8.75" style="16" customWidth="1"/>
    <col min="5895" max="5895" width="2" style="16" customWidth="1"/>
    <col min="5896" max="5896" width="8.625" style="16" customWidth="1"/>
    <col min="5897" max="5897" width="2.25" style="16" customWidth="1"/>
    <col min="5898" max="5898" width="7.25" style="16" customWidth="1"/>
    <col min="5899" max="5899" width="4" style="16" customWidth="1"/>
    <col min="5900" max="5900" width="8" style="16" customWidth="1"/>
    <col min="5901" max="5901" width="2.125" style="16" customWidth="1"/>
    <col min="5902" max="5902" width="9.375" style="16" customWidth="1"/>
    <col min="5903" max="5903" width="2" style="16" customWidth="1"/>
    <col min="5904" max="5904" width="9.375" style="16" customWidth="1"/>
    <col min="5905" max="5905" width="2" style="16" customWidth="1"/>
    <col min="5906" max="5906" width="9.625" style="16" customWidth="1"/>
    <col min="5907" max="5907" width="1.75" style="16" customWidth="1"/>
    <col min="5908" max="5908" width="8.625" style="16" customWidth="1"/>
    <col min="5909" max="5909" width="2.625" style="16" customWidth="1"/>
    <col min="5910" max="5910" width="9.625" style="16" customWidth="1"/>
    <col min="5911" max="5911" width="10.625" style="16" customWidth="1"/>
    <col min="5912" max="5912" width="1.625" style="16" customWidth="1"/>
    <col min="5913" max="6144" width="8.625" style="16"/>
    <col min="6145" max="6145" width="20" style="16" customWidth="1"/>
    <col min="6146" max="6146" width="9.75" style="16" customWidth="1"/>
    <col min="6147" max="6147" width="2" style="16" customWidth="1"/>
    <col min="6148" max="6148" width="8.625" style="16" customWidth="1"/>
    <col min="6149" max="6149" width="2.125" style="16" customWidth="1"/>
    <col min="6150" max="6150" width="8.75" style="16" customWidth="1"/>
    <col min="6151" max="6151" width="2" style="16" customWidth="1"/>
    <col min="6152" max="6152" width="8.625" style="16" customWidth="1"/>
    <col min="6153" max="6153" width="2.25" style="16" customWidth="1"/>
    <col min="6154" max="6154" width="7.25" style="16" customWidth="1"/>
    <col min="6155" max="6155" width="4" style="16" customWidth="1"/>
    <col min="6156" max="6156" width="8" style="16" customWidth="1"/>
    <col min="6157" max="6157" width="2.125" style="16" customWidth="1"/>
    <col min="6158" max="6158" width="9.375" style="16" customWidth="1"/>
    <col min="6159" max="6159" width="2" style="16" customWidth="1"/>
    <col min="6160" max="6160" width="9.375" style="16" customWidth="1"/>
    <col min="6161" max="6161" width="2" style="16" customWidth="1"/>
    <col min="6162" max="6162" width="9.625" style="16" customWidth="1"/>
    <col min="6163" max="6163" width="1.75" style="16" customWidth="1"/>
    <col min="6164" max="6164" width="8.625" style="16" customWidth="1"/>
    <col min="6165" max="6165" width="2.625" style="16" customWidth="1"/>
    <col min="6166" max="6166" width="9.625" style="16" customWidth="1"/>
    <col min="6167" max="6167" width="10.625" style="16" customWidth="1"/>
    <col min="6168" max="6168" width="1.625" style="16" customWidth="1"/>
    <col min="6169" max="6400" width="8.625" style="16"/>
    <col min="6401" max="6401" width="20" style="16" customWidth="1"/>
    <col min="6402" max="6402" width="9.75" style="16" customWidth="1"/>
    <col min="6403" max="6403" width="2" style="16" customWidth="1"/>
    <col min="6404" max="6404" width="8.625" style="16" customWidth="1"/>
    <col min="6405" max="6405" width="2.125" style="16" customWidth="1"/>
    <col min="6406" max="6406" width="8.75" style="16" customWidth="1"/>
    <col min="6407" max="6407" width="2" style="16" customWidth="1"/>
    <col min="6408" max="6408" width="8.625" style="16" customWidth="1"/>
    <col min="6409" max="6409" width="2.25" style="16" customWidth="1"/>
    <col min="6410" max="6410" width="7.25" style="16" customWidth="1"/>
    <col min="6411" max="6411" width="4" style="16" customWidth="1"/>
    <col min="6412" max="6412" width="8" style="16" customWidth="1"/>
    <col min="6413" max="6413" width="2.125" style="16" customWidth="1"/>
    <col min="6414" max="6414" width="9.375" style="16" customWidth="1"/>
    <col min="6415" max="6415" width="2" style="16" customWidth="1"/>
    <col min="6416" max="6416" width="9.375" style="16" customWidth="1"/>
    <col min="6417" max="6417" width="2" style="16" customWidth="1"/>
    <col min="6418" max="6418" width="9.625" style="16" customWidth="1"/>
    <col min="6419" max="6419" width="1.75" style="16" customWidth="1"/>
    <col min="6420" max="6420" width="8.625" style="16" customWidth="1"/>
    <col min="6421" max="6421" width="2.625" style="16" customWidth="1"/>
    <col min="6422" max="6422" width="9.625" style="16" customWidth="1"/>
    <col min="6423" max="6423" width="10.625" style="16" customWidth="1"/>
    <col min="6424" max="6424" width="1.625" style="16" customWidth="1"/>
    <col min="6425" max="6656" width="8.625" style="16"/>
    <col min="6657" max="6657" width="20" style="16" customWidth="1"/>
    <col min="6658" max="6658" width="9.75" style="16" customWidth="1"/>
    <col min="6659" max="6659" width="2" style="16" customWidth="1"/>
    <col min="6660" max="6660" width="8.625" style="16" customWidth="1"/>
    <col min="6661" max="6661" width="2.125" style="16" customWidth="1"/>
    <col min="6662" max="6662" width="8.75" style="16" customWidth="1"/>
    <col min="6663" max="6663" width="2" style="16" customWidth="1"/>
    <col min="6664" max="6664" width="8.625" style="16" customWidth="1"/>
    <col min="6665" max="6665" width="2.25" style="16" customWidth="1"/>
    <col min="6666" max="6666" width="7.25" style="16" customWidth="1"/>
    <col min="6667" max="6667" width="4" style="16" customWidth="1"/>
    <col min="6668" max="6668" width="8" style="16" customWidth="1"/>
    <col min="6669" max="6669" width="2.125" style="16" customWidth="1"/>
    <col min="6670" max="6670" width="9.375" style="16" customWidth="1"/>
    <col min="6671" max="6671" width="2" style="16" customWidth="1"/>
    <col min="6672" max="6672" width="9.375" style="16" customWidth="1"/>
    <col min="6673" max="6673" width="2" style="16" customWidth="1"/>
    <col min="6674" max="6674" width="9.625" style="16" customWidth="1"/>
    <col min="6675" max="6675" width="1.75" style="16" customWidth="1"/>
    <col min="6676" max="6676" width="8.625" style="16" customWidth="1"/>
    <col min="6677" max="6677" width="2.625" style="16" customWidth="1"/>
    <col min="6678" max="6678" width="9.625" style="16" customWidth="1"/>
    <col min="6679" max="6679" width="10.625" style="16" customWidth="1"/>
    <col min="6680" max="6680" width="1.625" style="16" customWidth="1"/>
    <col min="6681" max="6912" width="8.625" style="16"/>
    <col min="6913" max="6913" width="20" style="16" customWidth="1"/>
    <col min="6914" max="6914" width="9.75" style="16" customWidth="1"/>
    <col min="6915" max="6915" width="2" style="16" customWidth="1"/>
    <col min="6916" max="6916" width="8.625" style="16" customWidth="1"/>
    <col min="6917" max="6917" width="2.125" style="16" customWidth="1"/>
    <col min="6918" max="6918" width="8.75" style="16" customWidth="1"/>
    <col min="6919" max="6919" width="2" style="16" customWidth="1"/>
    <col min="6920" max="6920" width="8.625" style="16" customWidth="1"/>
    <col min="6921" max="6921" width="2.25" style="16" customWidth="1"/>
    <col min="6922" max="6922" width="7.25" style="16" customWidth="1"/>
    <col min="6923" max="6923" width="4" style="16" customWidth="1"/>
    <col min="6924" max="6924" width="8" style="16" customWidth="1"/>
    <col min="6925" max="6925" width="2.125" style="16" customWidth="1"/>
    <col min="6926" max="6926" width="9.375" style="16" customWidth="1"/>
    <col min="6927" max="6927" width="2" style="16" customWidth="1"/>
    <col min="6928" max="6928" width="9.375" style="16" customWidth="1"/>
    <col min="6929" max="6929" width="2" style="16" customWidth="1"/>
    <col min="6930" max="6930" width="9.625" style="16" customWidth="1"/>
    <col min="6931" max="6931" width="1.75" style="16" customWidth="1"/>
    <col min="6932" max="6932" width="8.625" style="16" customWidth="1"/>
    <col min="6933" max="6933" width="2.625" style="16" customWidth="1"/>
    <col min="6934" max="6934" width="9.625" style="16" customWidth="1"/>
    <col min="6935" max="6935" width="10.625" style="16" customWidth="1"/>
    <col min="6936" max="6936" width="1.625" style="16" customWidth="1"/>
    <col min="6937" max="7168" width="8.625" style="16"/>
    <col min="7169" max="7169" width="20" style="16" customWidth="1"/>
    <col min="7170" max="7170" width="9.75" style="16" customWidth="1"/>
    <col min="7171" max="7171" width="2" style="16" customWidth="1"/>
    <col min="7172" max="7172" width="8.625" style="16" customWidth="1"/>
    <col min="7173" max="7173" width="2.125" style="16" customWidth="1"/>
    <col min="7174" max="7174" width="8.75" style="16" customWidth="1"/>
    <col min="7175" max="7175" width="2" style="16" customWidth="1"/>
    <col min="7176" max="7176" width="8.625" style="16" customWidth="1"/>
    <col min="7177" max="7177" width="2.25" style="16" customWidth="1"/>
    <col min="7178" max="7178" width="7.25" style="16" customWidth="1"/>
    <col min="7179" max="7179" width="4" style="16" customWidth="1"/>
    <col min="7180" max="7180" width="8" style="16" customWidth="1"/>
    <col min="7181" max="7181" width="2.125" style="16" customWidth="1"/>
    <col min="7182" max="7182" width="9.375" style="16" customWidth="1"/>
    <col min="7183" max="7183" width="2" style="16" customWidth="1"/>
    <col min="7184" max="7184" width="9.375" style="16" customWidth="1"/>
    <col min="7185" max="7185" width="2" style="16" customWidth="1"/>
    <col min="7186" max="7186" width="9.625" style="16" customWidth="1"/>
    <col min="7187" max="7187" width="1.75" style="16" customWidth="1"/>
    <col min="7188" max="7188" width="8.625" style="16" customWidth="1"/>
    <col min="7189" max="7189" width="2.625" style="16" customWidth="1"/>
    <col min="7190" max="7190" width="9.625" style="16" customWidth="1"/>
    <col min="7191" max="7191" width="10.625" style="16" customWidth="1"/>
    <col min="7192" max="7192" width="1.625" style="16" customWidth="1"/>
    <col min="7193" max="7424" width="8.625" style="16"/>
    <col min="7425" max="7425" width="20" style="16" customWidth="1"/>
    <col min="7426" max="7426" width="9.75" style="16" customWidth="1"/>
    <col min="7427" max="7427" width="2" style="16" customWidth="1"/>
    <col min="7428" max="7428" width="8.625" style="16" customWidth="1"/>
    <col min="7429" max="7429" width="2.125" style="16" customWidth="1"/>
    <col min="7430" max="7430" width="8.75" style="16" customWidth="1"/>
    <col min="7431" max="7431" width="2" style="16" customWidth="1"/>
    <col min="7432" max="7432" width="8.625" style="16" customWidth="1"/>
    <col min="7433" max="7433" width="2.25" style="16" customWidth="1"/>
    <col min="7434" max="7434" width="7.25" style="16" customWidth="1"/>
    <col min="7435" max="7435" width="4" style="16" customWidth="1"/>
    <col min="7436" max="7436" width="8" style="16" customWidth="1"/>
    <col min="7437" max="7437" width="2.125" style="16" customWidth="1"/>
    <col min="7438" max="7438" width="9.375" style="16" customWidth="1"/>
    <col min="7439" max="7439" width="2" style="16" customWidth="1"/>
    <col min="7440" max="7440" width="9.375" style="16" customWidth="1"/>
    <col min="7441" max="7441" width="2" style="16" customWidth="1"/>
    <col min="7442" max="7442" width="9.625" style="16" customWidth="1"/>
    <col min="7443" max="7443" width="1.75" style="16" customWidth="1"/>
    <col min="7444" max="7444" width="8.625" style="16" customWidth="1"/>
    <col min="7445" max="7445" width="2.625" style="16" customWidth="1"/>
    <col min="7446" max="7446" width="9.625" style="16" customWidth="1"/>
    <col min="7447" max="7447" width="10.625" style="16" customWidth="1"/>
    <col min="7448" max="7448" width="1.625" style="16" customWidth="1"/>
    <col min="7449" max="7680" width="8.625" style="16"/>
    <col min="7681" max="7681" width="20" style="16" customWidth="1"/>
    <col min="7682" max="7682" width="9.75" style="16" customWidth="1"/>
    <col min="7683" max="7683" width="2" style="16" customWidth="1"/>
    <col min="7684" max="7684" width="8.625" style="16" customWidth="1"/>
    <col min="7685" max="7685" width="2.125" style="16" customWidth="1"/>
    <col min="7686" max="7686" width="8.75" style="16" customWidth="1"/>
    <col min="7687" max="7687" width="2" style="16" customWidth="1"/>
    <col min="7688" max="7688" width="8.625" style="16" customWidth="1"/>
    <col min="7689" max="7689" width="2.25" style="16" customWidth="1"/>
    <col min="7690" max="7690" width="7.25" style="16" customWidth="1"/>
    <col min="7691" max="7691" width="4" style="16" customWidth="1"/>
    <col min="7692" max="7692" width="8" style="16" customWidth="1"/>
    <col min="7693" max="7693" width="2.125" style="16" customWidth="1"/>
    <col min="7694" max="7694" width="9.375" style="16" customWidth="1"/>
    <col min="7695" max="7695" width="2" style="16" customWidth="1"/>
    <col min="7696" max="7696" width="9.375" style="16" customWidth="1"/>
    <col min="7697" max="7697" width="2" style="16" customWidth="1"/>
    <col min="7698" max="7698" width="9.625" style="16" customWidth="1"/>
    <col min="7699" max="7699" width="1.75" style="16" customWidth="1"/>
    <col min="7700" max="7700" width="8.625" style="16" customWidth="1"/>
    <col min="7701" max="7701" width="2.625" style="16" customWidth="1"/>
    <col min="7702" max="7702" width="9.625" style="16" customWidth="1"/>
    <col min="7703" max="7703" width="10.625" style="16" customWidth="1"/>
    <col min="7704" max="7704" width="1.625" style="16" customWidth="1"/>
    <col min="7705" max="7936" width="8.625" style="16"/>
    <col min="7937" max="7937" width="20" style="16" customWidth="1"/>
    <col min="7938" max="7938" width="9.75" style="16" customWidth="1"/>
    <col min="7939" max="7939" width="2" style="16" customWidth="1"/>
    <col min="7940" max="7940" width="8.625" style="16" customWidth="1"/>
    <col min="7941" max="7941" width="2.125" style="16" customWidth="1"/>
    <col min="7942" max="7942" width="8.75" style="16" customWidth="1"/>
    <col min="7943" max="7943" width="2" style="16" customWidth="1"/>
    <col min="7944" max="7944" width="8.625" style="16" customWidth="1"/>
    <col min="7945" max="7945" width="2.25" style="16" customWidth="1"/>
    <col min="7946" max="7946" width="7.25" style="16" customWidth="1"/>
    <col min="7947" max="7947" width="4" style="16" customWidth="1"/>
    <col min="7948" max="7948" width="8" style="16" customWidth="1"/>
    <col min="7949" max="7949" width="2.125" style="16" customWidth="1"/>
    <col min="7950" max="7950" width="9.375" style="16" customWidth="1"/>
    <col min="7951" max="7951" width="2" style="16" customWidth="1"/>
    <col min="7952" max="7952" width="9.375" style="16" customWidth="1"/>
    <col min="7953" max="7953" width="2" style="16" customWidth="1"/>
    <col min="7954" max="7954" width="9.625" style="16" customWidth="1"/>
    <col min="7955" max="7955" width="1.75" style="16" customWidth="1"/>
    <col min="7956" max="7956" width="8.625" style="16" customWidth="1"/>
    <col min="7957" max="7957" width="2.625" style="16" customWidth="1"/>
    <col min="7958" max="7958" width="9.625" style="16" customWidth="1"/>
    <col min="7959" max="7959" width="10.625" style="16" customWidth="1"/>
    <col min="7960" max="7960" width="1.625" style="16" customWidth="1"/>
    <col min="7961" max="8192" width="8.625" style="16"/>
    <col min="8193" max="8193" width="20" style="16" customWidth="1"/>
    <col min="8194" max="8194" width="9.75" style="16" customWidth="1"/>
    <col min="8195" max="8195" width="2" style="16" customWidth="1"/>
    <col min="8196" max="8196" width="8.625" style="16" customWidth="1"/>
    <col min="8197" max="8197" width="2.125" style="16" customWidth="1"/>
    <col min="8198" max="8198" width="8.75" style="16" customWidth="1"/>
    <col min="8199" max="8199" width="2" style="16" customWidth="1"/>
    <col min="8200" max="8200" width="8.625" style="16" customWidth="1"/>
    <col min="8201" max="8201" width="2.25" style="16" customWidth="1"/>
    <col min="8202" max="8202" width="7.25" style="16" customWidth="1"/>
    <col min="8203" max="8203" width="4" style="16" customWidth="1"/>
    <col min="8204" max="8204" width="8" style="16" customWidth="1"/>
    <col min="8205" max="8205" width="2.125" style="16" customWidth="1"/>
    <col min="8206" max="8206" width="9.375" style="16" customWidth="1"/>
    <col min="8207" max="8207" width="2" style="16" customWidth="1"/>
    <col min="8208" max="8208" width="9.375" style="16" customWidth="1"/>
    <col min="8209" max="8209" width="2" style="16" customWidth="1"/>
    <col min="8210" max="8210" width="9.625" style="16" customWidth="1"/>
    <col min="8211" max="8211" width="1.75" style="16" customWidth="1"/>
    <col min="8212" max="8212" width="8.625" style="16" customWidth="1"/>
    <col min="8213" max="8213" width="2.625" style="16" customWidth="1"/>
    <col min="8214" max="8214" width="9.625" style="16" customWidth="1"/>
    <col min="8215" max="8215" width="10.625" style="16" customWidth="1"/>
    <col min="8216" max="8216" width="1.625" style="16" customWidth="1"/>
    <col min="8217" max="8448" width="8.625" style="16"/>
    <col min="8449" max="8449" width="20" style="16" customWidth="1"/>
    <col min="8450" max="8450" width="9.75" style="16" customWidth="1"/>
    <col min="8451" max="8451" width="2" style="16" customWidth="1"/>
    <col min="8452" max="8452" width="8.625" style="16" customWidth="1"/>
    <col min="8453" max="8453" width="2.125" style="16" customWidth="1"/>
    <col min="8454" max="8454" width="8.75" style="16" customWidth="1"/>
    <col min="8455" max="8455" width="2" style="16" customWidth="1"/>
    <col min="8456" max="8456" width="8.625" style="16" customWidth="1"/>
    <col min="8457" max="8457" width="2.25" style="16" customWidth="1"/>
    <col min="8458" max="8458" width="7.25" style="16" customWidth="1"/>
    <col min="8459" max="8459" width="4" style="16" customWidth="1"/>
    <col min="8460" max="8460" width="8" style="16" customWidth="1"/>
    <col min="8461" max="8461" width="2.125" style="16" customWidth="1"/>
    <col min="8462" max="8462" width="9.375" style="16" customWidth="1"/>
    <col min="8463" max="8463" width="2" style="16" customWidth="1"/>
    <col min="8464" max="8464" width="9.375" style="16" customWidth="1"/>
    <col min="8465" max="8465" width="2" style="16" customWidth="1"/>
    <col min="8466" max="8466" width="9.625" style="16" customWidth="1"/>
    <col min="8467" max="8467" width="1.75" style="16" customWidth="1"/>
    <col min="8468" max="8468" width="8.625" style="16" customWidth="1"/>
    <col min="8469" max="8469" width="2.625" style="16" customWidth="1"/>
    <col min="8470" max="8470" width="9.625" style="16" customWidth="1"/>
    <col min="8471" max="8471" width="10.625" style="16" customWidth="1"/>
    <col min="8472" max="8472" width="1.625" style="16" customWidth="1"/>
    <col min="8473" max="8704" width="8.625" style="16"/>
    <col min="8705" max="8705" width="20" style="16" customWidth="1"/>
    <col min="8706" max="8706" width="9.75" style="16" customWidth="1"/>
    <col min="8707" max="8707" width="2" style="16" customWidth="1"/>
    <col min="8708" max="8708" width="8.625" style="16" customWidth="1"/>
    <col min="8709" max="8709" width="2.125" style="16" customWidth="1"/>
    <col min="8710" max="8710" width="8.75" style="16" customWidth="1"/>
    <col min="8711" max="8711" width="2" style="16" customWidth="1"/>
    <col min="8712" max="8712" width="8.625" style="16" customWidth="1"/>
    <col min="8713" max="8713" width="2.25" style="16" customWidth="1"/>
    <col min="8714" max="8714" width="7.25" style="16" customWidth="1"/>
    <col min="8715" max="8715" width="4" style="16" customWidth="1"/>
    <col min="8716" max="8716" width="8" style="16" customWidth="1"/>
    <col min="8717" max="8717" width="2.125" style="16" customWidth="1"/>
    <col min="8718" max="8718" width="9.375" style="16" customWidth="1"/>
    <col min="8719" max="8719" width="2" style="16" customWidth="1"/>
    <col min="8720" max="8720" width="9.375" style="16" customWidth="1"/>
    <col min="8721" max="8721" width="2" style="16" customWidth="1"/>
    <col min="8722" max="8722" width="9.625" style="16" customWidth="1"/>
    <col min="8723" max="8723" width="1.75" style="16" customWidth="1"/>
    <col min="8724" max="8724" width="8.625" style="16" customWidth="1"/>
    <col min="8725" max="8725" width="2.625" style="16" customWidth="1"/>
    <col min="8726" max="8726" width="9.625" style="16" customWidth="1"/>
    <col min="8727" max="8727" width="10.625" style="16" customWidth="1"/>
    <col min="8728" max="8728" width="1.625" style="16" customWidth="1"/>
    <col min="8729" max="8960" width="8.625" style="16"/>
    <col min="8961" max="8961" width="20" style="16" customWidth="1"/>
    <col min="8962" max="8962" width="9.75" style="16" customWidth="1"/>
    <col min="8963" max="8963" width="2" style="16" customWidth="1"/>
    <col min="8964" max="8964" width="8.625" style="16" customWidth="1"/>
    <col min="8965" max="8965" width="2.125" style="16" customWidth="1"/>
    <col min="8966" max="8966" width="8.75" style="16" customWidth="1"/>
    <col min="8967" max="8967" width="2" style="16" customWidth="1"/>
    <col min="8968" max="8968" width="8.625" style="16" customWidth="1"/>
    <col min="8969" max="8969" width="2.25" style="16" customWidth="1"/>
    <col min="8970" max="8970" width="7.25" style="16" customWidth="1"/>
    <col min="8971" max="8971" width="4" style="16" customWidth="1"/>
    <col min="8972" max="8972" width="8" style="16" customWidth="1"/>
    <col min="8973" max="8973" width="2.125" style="16" customWidth="1"/>
    <col min="8974" max="8974" width="9.375" style="16" customWidth="1"/>
    <col min="8975" max="8975" width="2" style="16" customWidth="1"/>
    <col min="8976" max="8976" width="9.375" style="16" customWidth="1"/>
    <col min="8977" max="8977" width="2" style="16" customWidth="1"/>
    <col min="8978" max="8978" width="9.625" style="16" customWidth="1"/>
    <col min="8979" max="8979" width="1.75" style="16" customWidth="1"/>
    <col min="8980" max="8980" width="8.625" style="16" customWidth="1"/>
    <col min="8981" max="8981" width="2.625" style="16" customWidth="1"/>
    <col min="8982" max="8982" width="9.625" style="16" customWidth="1"/>
    <col min="8983" max="8983" width="10.625" style="16" customWidth="1"/>
    <col min="8984" max="8984" width="1.625" style="16" customWidth="1"/>
    <col min="8985" max="9216" width="8.625" style="16"/>
    <col min="9217" max="9217" width="20" style="16" customWidth="1"/>
    <col min="9218" max="9218" width="9.75" style="16" customWidth="1"/>
    <col min="9219" max="9219" width="2" style="16" customWidth="1"/>
    <col min="9220" max="9220" width="8.625" style="16" customWidth="1"/>
    <col min="9221" max="9221" width="2.125" style="16" customWidth="1"/>
    <col min="9222" max="9222" width="8.75" style="16" customWidth="1"/>
    <col min="9223" max="9223" width="2" style="16" customWidth="1"/>
    <col min="9224" max="9224" width="8.625" style="16" customWidth="1"/>
    <col min="9225" max="9225" width="2.25" style="16" customWidth="1"/>
    <col min="9226" max="9226" width="7.25" style="16" customWidth="1"/>
    <col min="9227" max="9227" width="4" style="16" customWidth="1"/>
    <col min="9228" max="9228" width="8" style="16" customWidth="1"/>
    <col min="9229" max="9229" width="2.125" style="16" customWidth="1"/>
    <col min="9230" max="9230" width="9.375" style="16" customWidth="1"/>
    <col min="9231" max="9231" width="2" style="16" customWidth="1"/>
    <col min="9232" max="9232" width="9.375" style="16" customWidth="1"/>
    <col min="9233" max="9233" width="2" style="16" customWidth="1"/>
    <col min="9234" max="9234" width="9.625" style="16" customWidth="1"/>
    <col min="9235" max="9235" width="1.75" style="16" customWidth="1"/>
    <col min="9236" max="9236" width="8.625" style="16" customWidth="1"/>
    <col min="9237" max="9237" width="2.625" style="16" customWidth="1"/>
    <col min="9238" max="9238" width="9.625" style="16" customWidth="1"/>
    <col min="9239" max="9239" width="10.625" style="16" customWidth="1"/>
    <col min="9240" max="9240" width="1.625" style="16" customWidth="1"/>
    <col min="9241" max="9472" width="8.625" style="16"/>
    <col min="9473" max="9473" width="20" style="16" customWidth="1"/>
    <col min="9474" max="9474" width="9.75" style="16" customWidth="1"/>
    <col min="9475" max="9475" width="2" style="16" customWidth="1"/>
    <col min="9476" max="9476" width="8.625" style="16" customWidth="1"/>
    <col min="9477" max="9477" width="2.125" style="16" customWidth="1"/>
    <col min="9478" max="9478" width="8.75" style="16" customWidth="1"/>
    <col min="9479" max="9479" width="2" style="16" customWidth="1"/>
    <col min="9480" max="9480" width="8.625" style="16" customWidth="1"/>
    <col min="9481" max="9481" width="2.25" style="16" customWidth="1"/>
    <col min="9482" max="9482" width="7.25" style="16" customWidth="1"/>
    <col min="9483" max="9483" width="4" style="16" customWidth="1"/>
    <col min="9484" max="9484" width="8" style="16" customWidth="1"/>
    <col min="9485" max="9485" width="2.125" style="16" customWidth="1"/>
    <col min="9486" max="9486" width="9.375" style="16" customWidth="1"/>
    <col min="9487" max="9487" width="2" style="16" customWidth="1"/>
    <col min="9488" max="9488" width="9.375" style="16" customWidth="1"/>
    <col min="9489" max="9489" width="2" style="16" customWidth="1"/>
    <col min="9490" max="9490" width="9.625" style="16" customWidth="1"/>
    <col min="9491" max="9491" width="1.75" style="16" customWidth="1"/>
    <col min="9492" max="9492" width="8.625" style="16" customWidth="1"/>
    <col min="9493" max="9493" width="2.625" style="16" customWidth="1"/>
    <col min="9494" max="9494" width="9.625" style="16" customWidth="1"/>
    <col min="9495" max="9495" width="10.625" style="16" customWidth="1"/>
    <col min="9496" max="9496" width="1.625" style="16" customWidth="1"/>
    <col min="9497" max="9728" width="8.625" style="16"/>
    <col min="9729" max="9729" width="20" style="16" customWidth="1"/>
    <col min="9730" max="9730" width="9.75" style="16" customWidth="1"/>
    <col min="9731" max="9731" width="2" style="16" customWidth="1"/>
    <col min="9732" max="9732" width="8.625" style="16" customWidth="1"/>
    <col min="9733" max="9733" width="2.125" style="16" customWidth="1"/>
    <col min="9734" max="9734" width="8.75" style="16" customWidth="1"/>
    <col min="9735" max="9735" width="2" style="16" customWidth="1"/>
    <col min="9736" max="9736" width="8.625" style="16" customWidth="1"/>
    <col min="9737" max="9737" width="2.25" style="16" customWidth="1"/>
    <col min="9738" max="9738" width="7.25" style="16" customWidth="1"/>
    <col min="9739" max="9739" width="4" style="16" customWidth="1"/>
    <col min="9740" max="9740" width="8" style="16" customWidth="1"/>
    <col min="9741" max="9741" width="2.125" style="16" customWidth="1"/>
    <col min="9742" max="9742" width="9.375" style="16" customWidth="1"/>
    <col min="9743" max="9743" width="2" style="16" customWidth="1"/>
    <col min="9744" max="9744" width="9.375" style="16" customWidth="1"/>
    <col min="9745" max="9745" width="2" style="16" customWidth="1"/>
    <col min="9746" max="9746" width="9.625" style="16" customWidth="1"/>
    <col min="9747" max="9747" width="1.75" style="16" customWidth="1"/>
    <col min="9748" max="9748" width="8.625" style="16" customWidth="1"/>
    <col min="9749" max="9749" width="2.625" style="16" customWidth="1"/>
    <col min="9750" max="9750" width="9.625" style="16" customWidth="1"/>
    <col min="9751" max="9751" width="10.625" style="16" customWidth="1"/>
    <col min="9752" max="9752" width="1.625" style="16" customWidth="1"/>
    <col min="9753" max="9984" width="8.625" style="16"/>
    <col min="9985" max="9985" width="20" style="16" customWidth="1"/>
    <col min="9986" max="9986" width="9.75" style="16" customWidth="1"/>
    <col min="9987" max="9987" width="2" style="16" customWidth="1"/>
    <col min="9988" max="9988" width="8.625" style="16" customWidth="1"/>
    <col min="9989" max="9989" width="2.125" style="16" customWidth="1"/>
    <col min="9990" max="9990" width="8.75" style="16" customWidth="1"/>
    <col min="9991" max="9991" width="2" style="16" customWidth="1"/>
    <col min="9992" max="9992" width="8.625" style="16" customWidth="1"/>
    <col min="9993" max="9993" width="2.25" style="16" customWidth="1"/>
    <col min="9994" max="9994" width="7.25" style="16" customWidth="1"/>
    <col min="9995" max="9995" width="4" style="16" customWidth="1"/>
    <col min="9996" max="9996" width="8" style="16" customWidth="1"/>
    <col min="9997" max="9997" width="2.125" style="16" customWidth="1"/>
    <col min="9998" max="9998" width="9.375" style="16" customWidth="1"/>
    <col min="9999" max="9999" width="2" style="16" customWidth="1"/>
    <col min="10000" max="10000" width="9.375" style="16" customWidth="1"/>
    <col min="10001" max="10001" width="2" style="16" customWidth="1"/>
    <col min="10002" max="10002" width="9.625" style="16" customWidth="1"/>
    <col min="10003" max="10003" width="1.75" style="16" customWidth="1"/>
    <col min="10004" max="10004" width="8.625" style="16" customWidth="1"/>
    <col min="10005" max="10005" width="2.625" style="16" customWidth="1"/>
    <col min="10006" max="10006" width="9.625" style="16" customWidth="1"/>
    <col min="10007" max="10007" width="10.625" style="16" customWidth="1"/>
    <col min="10008" max="10008" width="1.625" style="16" customWidth="1"/>
    <col min="10009" max="10240" width="8.625" style="16"/>
    <col min="10241" max="10241" width="20" style="16" customWidth="1"/>
    <col min="10242" max="10242" width="9.75" style="16" customWidth="1"/>
    <col min="10243" max="10243" width="2" style="16" customWidth="1"/>
    <col min="10244" max="10244" width="8.625" style="16" customWidth="1"/>
    <col min="10245" max="10245" width="2.125" style="16" customWidth="1"/>
    <col min="10246" max="10246" width="8.75" style="16" customWidth="1"/>
    <col min="10247" max="10247" width="2" style="16" customWidth="1"/>
    <col min="10248" max="10248" width="8.625" style="16" customWidth="1"/>
    <col min="10249" max="10249" width="2.25" style="16" customWidth="1"/>
    <col min="10250" max="10250" width="7.25" style="16" customWidth="1"/>
    <col min="10251" max="10251" width="4" style="16" customWidth="1"/>
    <col min="10252" max="10252" width="8" style="16" customWidth="1"/>
    <col min="10253" max="10253" width="2.125" style="16" customWidth="1"/>
    <col min="10254" max="10254" width="9.375" style="16" customWidth="1"/>
    <col min="10255" max="10255" width="2" style="16" customWidth="1"/>
    <col min="10256" max="10256" width="9.375" style="16" customWidth="1"/>
    <col min="10257" max="10257" width="2" style="16" customWidth="1"/>
    <col min="10258" max="10258" width="9.625" style="16" customWidth="1"/>
    <col min="10259" max="10259" width="1.75" style="16" customWidth="1"/>
    <col min="10260" max="10260" width="8.625" style="16" customWidth="1"/>
    <col min="10261" max="10261" width="2.625" style="16" customWidth="1"/>
    <col min="10262" max="10262" width="9.625" style="16" customWidth="1"/>
    <col min="10263" max="10263" width="10.625" style="16" customWidth="1"/>
    <col min="10264" max="10264" width="1.625" style="16" customWidth="1"/>
    <col min="10265" max="10496" width="8.625" style="16"/>
    <col min="10497" max="10497" width="20" style="16" customWidth="1"/>
    <col min="10498" max="10498" width="9.75" style="16" customWidth="1"/>
    <col min="10499" max="10499" width="2" style="16" customWidth="1"/>
    <col min="10500" max="10500" width="8.625" style="16" customWidth="1"/>
    <col min="10501" max="10501" width="2.125" style="16" customWidth="1"/>
    <col min="10502" max="10502" width="8.75" style="16" customWidth="1"/>
    <col min="10503" max="10503" width="2" style="16" customWidth="1"/>
    <col min="10504" max="10504" width="8.625" style="16" customWidth="1"/>
    <col min="10505" max="10505" width="2.25" style="16" customWidth="1"/>
    <col min="10506" max="10506" width="7.25" style="16" customWidth="1"/>
    <col min="10507" max="10507" width="4" style="16" customWidth="1"/>
    <col min="10508" max="10508" width="8" style="16" customWidth="1"/>
    <col min="10509" max="10509" width="2.125" style="16" customWidth="1"/>
    <col min="10510" max="10510" width="9.375" style="16" customWidth="1"/>
    <col min="10511" max="10511" width="2" style="16" customWidth="1"/>
    <col min="10512" max="10512" width="9.375" style="16" customWidth="1"/>
    <col min="10513" max="10513" width="2" style="16" customWidth="1"/>
    <col min="10514" max="10514" width="9.625" style="16" customWidth="1"/>
    <col min="10515" max="10515" width="1.75" style="16" customWidth="1"/>
    <col min="10516" max="10516" width="8.625" style="16" customWidth="1"/>
    <col min="10517" max="10517" width="2.625" style="16" customWidth="1"/>
    <col min="10518" max="10518" width="9.625" style="16" customWidth="1"/>
    <col min="10519" max="10519" width="10.625" style="16" customWidth="1"/>
    <col min="10520" max="10520" width="1.625" style="16" customWidth="1"/>
    <col min="10521" max="10752" width="8.625" style="16"/>
    <col min="10753" max="10753" width="20" style="16" customWidth="1"/>
    <col min="10754" max="10754" width="9.75" style="16" customWidth="1"/>
    <col min="10755" max="10755" width="2" style="16" customWidth="1"/>
    <col min="10756" max="10756" width="8.625" style="16" customWidth="1"/>
    <col min="10757" max="10757" width="2.125" style="16" customWidth="1"/>
    <col min="10758" max="10758" width="8.75" style="16" customWidth="1"/>
    <col min="10759" max="10759" width="2" style="16" customWidth="1"/>
    <col min="10760" max="10760" width="8.625" style="16" customWidth="1"/>
    <col min="10761" max="10761" width="2.25" style="16" customWidth="1"/>
    <col min="10762" max="10762" width="7.25" style="16" customWidth="1"/>
    <col min="10763" max="10763" width="4" style="16" customWidth="1"/>
    <col min="10764" max="10764" width="8" style="16" customWidth="1"/>
    <col min="10765" max="10765" width="2.125" style="16" customWidth="1"/>
    <col min="10766" max="10766" width="9.375" style="16" customWidth="1"/>
    <col min="10767" max="10767" width="2" style="16" customWidth="1"/>
    <col min="10768" max="10768" width="9.375" style="16" customWidth="1"/>
    <col min="10769" max="10769" width="2" style="16" customWidth="1"/>
    <col min="10770" max="10770" width="9.625" style="16" customWidth="1"/>
    <col min="10771" max="10771" width="1.75" style="16" customWidth="1"/>
    <col min="10772" max="10772" width="8.625" style="16" customWidth="1"/>
    <col min="10773" max="10773" width="2.625" style="16" customWidth="1"/>
    <col min="10774" max="10774" width="9.625" style="16" customWidth="1"/>
    <col min="10775" max="10775" width="10.625" style="16" customWidth="1"/>
    <col min="10776" max="10776" width="1.625" style="16" customWidth="1"/>
    <col min="10777" max="11008" width="8.625" style="16"/>
    <col min="11009" max="11009" width="20" style="16" customWidth="1"/>
    <col min="11010" max="11010" width="9.75" style="16" customWidth="1"/>
    <col min="11011" max="11011" width="2" style="16" customWidth="1"/>
    <col min="11012" max="11012" width="8.625" style="16" customWidth="1"/>
    <col min="11013" max="11013" width="2.125" style="16" customWidth="1"/>
    <col min="11014" max="11014" width="8.75" style="16" customWidth="1"/>
    <col min="11015" max="11015" width="2" style="16" customWidth="1"/>
    <col min="11016" max="11016" width="8.625" style="16" customWidth="1"/>
    <col min="11017" max="11017" width="2.25" style="16" customWidth="1"/>
    <col min="11018" max="11018" width="7.25" style="16" customWidth="1"/>
    <col min="11019" max="11019" width="4" style="16" customWidth="1"/>
    <col min="11020" max="11020" width="8" style="16" customWidth="1"/>
    <col min="11021" max="11021" width="2.125" style="16" customWidth="1"/>
    <col min="11022" max="11022" width="9.375" style="16" customWidth="1"/>
    <col min="11023" max="11023" width="2" style="16" customWidth="1"/>
    <col min="11024" max="11024" width="9.375" style="16" customWidth="1"/>
    <col min="11025" max="11025" width="2" style="16" customWidth="1"/>
    <col min="11026" max="11026" width="9.625" style="16" customWidth="1"/>
    <col min="11027" max="11027" width="1.75" style="16" customWidth="1"/>
    <col min="11028" max="11028" width="8.625" style="16" customWidth="1"/>
    <col min="11029" max="11029" width="2.625" style="16" customWidth="1"/>
    <col min="11030" max="11030" width="9.625" style="16" customWidth="1"/>
    <col min="11031" max="11031" width="10.625" style="16" customWidth="1"/>
    <col min="11032" max="11032" width="1.625" style="16" customWidth="1"/>
    <col min="11033" max="11264" width="8.625" style="16"/>
    <col min="11265" max="11265" width="20" style="16" customWidth="1"/>
    <col min="11266" max="11266" width="9.75" style="16" customWidth="1"/>
    <col min="11267" max="11267" width="2" style="16" customWidth="1"/>
    <col min="11268" max="11268" width="8.625" style="16" customWidth="1"/>
    <col min="11269" max="11269" width="2.125" style="16" customWidth="1"/>
    <col min="11270" max="11270" width="8.75" style="16" customWidth="1"/>
    <col min="11271" max="11271" width="2" style="16" customWidth="1"/>
    <col min="11272" max="11272" width="8.625" style="16" customWidth="1"/>
    <col min="11273" max="11273" width="2.25" style="16" customWidth="1"/>
    <col min="11274" max="11274" width="7.25" style="16" customWidth="1"/>
    <col min="11275" max="11275" width="4" style="16" customWidth="1"/>
    <col min="11276" max="11276" width="8" style="16" customWidth="1"/>
    <col min="11277" max="11277" width="2.125" style="16" customWidth="1"/>
    <col min="11278" max="11278" width="9.375" style="16" customWidth="1"/>
    <col min="11279" max="11279" width="2" style="16" customWidth="1"/>
    <col min="11280" max="11280" width="9.375" style="16" customWidth="1"/>
    <col min="11281" max="11281" width="2" style="16" customWidth="1"/>
    <col min="11282" max="11282" width="9.625" style="16" customWidth="1"/>
    <col min="11283" max="11283" width="1.75" style="16" customWidth="1"/>
    <col min="11284" max="11284" width="8.625" style="16" customWidth="1"/>
    <col min="11285" max="11285" width="2.625" style="16" customWidth="1"/>
    <col min="11286" max="11286" width="9.625" style="16" customWidth="1"/>
    <col min="11287" max="11287" width="10.625" style="16" customWidth="1"/>
    <col min="11288" max="11288" width="1.625" style="16" customWidth="1"/>
    <col min="11289" max="11520" width="8.625" style="16"/>
    <col min="11521" max="11521" width="20" style="16" customWidth="1"/>
    <col min="11522" max="11522" width="9.75" style="16" customWidth="1"/>
    <col min="11523" max="11523" width="2" style="16" customWidth="1"/>
    <col min="11524" max="11524" width="8.625" style="16" customWidth="1"/>
    <col min="11525" max="11525" width="2.125" style="16" customWidth="1"/>
    <col min="11526" max="11526" width="8.75" style="16" customWidth="1"/>
    <col min="11527" max="11527" width="2" style="16" customWidth="1"/>
    <col min="11528" max="11528" width="8.625" style="16" customWidth="1"/>
    <col min="11529" max="11529" width="2.25" style="16" customWidth="1"/>
    <col min="11530" max="11530" width="7.25" style="16" customWidth="1"/>
    <col min="11531" max="11531" width="4" style="16" customWidth="1"/>
    <col min="11532" max="11532" width="8" style="16" customWidth="1"/>
    <col min="11533" max="11533" width="2.125" style="16" customWidth="1"/>
    <col min="11534" max="11534" width="9.375" style="16" customWidth="1"/>
    <col min="11535" max="11535" width="2" style="16" customWidth="1"/>
    <col min="11536" max="11536" width="9.375" style="16" customWidth="1"/>
    <col min="11537" max="11537" width="2" style="16" customWidth="1"/>
    <col min="11538" max="11538" width="9.625" style="16" customWidth="1"/>
    <col min="11539" max="11539" width="1.75" style="16" customWidth="1"/>
    <col min="11540" max="11540" width="8.625" style="16" customWidth="1"/>
    <col min="11541" max="11541" width="2.625" style="16" customWidth="1"/>
    <col min="11542" max="11542" width="9.625" style="16" customWidth="1"/>
    <col min="11543" max="11543" width="10.625" style="16" customWidth="1"/>
    <col min="11544" max="11544" width="1.625" style="16" customWidth="1"/>
    <col min="11545" max="11776" width="8.625" style="16"/>
    <col min="11777" max="11777" width="20" style="16" customWidth="1"/>
    <col min="11778" max="11778" width="9.75" style="16" customWidth="1"/>
    <col min="11779" max="11779" width="2" style="16" customWidth="1"/>
    <col min="11780" max="11780" width="8.625" style="16" customWidth="1"/>
    <col min="11781" max="11781" width="2.125" style="16" customWidth="1"/>
    <col min="11782" max="11782" width="8.75" style="16" customWidth="1"/>
    <col min="11783" max="11783" width="2" style="16" customWidth="1"/>
    <col min="11784" max="11784" width="8.625" style="16" customWidth="1"/>
    <col min="11785" max="11785" width="2.25" style="16" customWidth="1"/>
    <col min="11786" max="11786" width="7.25" style="16" customWidth="1"/>
    <col min="11787" max="11787" width="4" style="16" customWidth="1"/>
    <col min="11788" max="11788" width="8" style="16" customWidth="1"/>
    <col min="11789" max="11789" width="2.125" style="16" customWidth="1"/>
    <col min="11790" max="11790" width="9.375" style="16" customWidth="1"/>
    <col min="11791" max="11791" width="2" style="16" customWidth="1"/>
    <col min="11792" max="11792" width="9.375" style="16" customWidth="1"/>
    <col min="11793" max="11793" width="2" style="16" customWidth="1"/>
    <col min="11794" max="11794" width="9.625" style="16" customWidth="1"/>
    <col min="11795" max="11795" width="1.75" style="16" customWidth="1"/>
    <col min="11796" max="11796" width="8.625" style="16" customWidth="1"/>
    <col min="11797" max="11797" width="2.625" style="16" customWidth="1"/>
    <col min="11798" max="11798" width="9.625" style="16" customWidth="1"/>
    <col min="11799" max="11799" width="10.625" style="16" customWidth="1"/>
    <col min="11800" max="11800" width="1.625" style="16" customWidth="1"/>
    <col min="11801" max="12032" width="8.625" style="16"/>
    <col min="12033" max="12033" width="20" style="16" customWidth="1"/>
    <col min="12034" max="12034" width="9.75" style="16" customWidth="1"/>
    <col min="12035" max="12035" width="2" style="16" customWidth="1"/>
    <col min="12036" max="12036" width="8.625" style="16" customWidth="1"/>
    <col min="12037" max="12037" width="2.125" style="16" customWidth="1"/>
    <col min="12038" max="12038" width="8.75" style="16" customWidth="1"/>
    <col min="12039" max="12039" width="2" style="16" customWidth="1"/>
    <col min="12040" max="12040" width="8.625" style="16" customWidth="1"/>
    <col min="12041" max="12041" width="2.25" style="16" customWidth="1"/>
    <col min="12042" max="12042" width="7.25" style="16" customWidth="1"/>
    <col min="12043" max="12043" width="4" style="16" customWidth="1"/>
    <col min="12044" max="12044" width="8" style="16" customWidth="1"/>
    <col min="12045" max="12045" width="2.125" style="16" customWidth="1"/>
    <col min="12046" max="12046" width="9.375" style="16" customWidth="1"/>
    <col min="12047" max="12047" width="2" style="16" customWidth="1"/>
    <col min="12048" max="12048" width="9.375" style="16" customWidth="1"/>
    <col min="12049" max="12049" width="2" style="16" customWidth="1"/>
    <col min="12050" max="12050" width="9.625" style="16" customWidth="1"/>
    <col min="12051" max="12051" width="1.75" style="16" customWidth="1"/>
    <col min="12052" max="12052" width="8.625" style="16" customWidth="1"/>
    <col min="12053" max="12053" width="2.625" style="16" customWidth="1"/>
    <col min="12054" max="12054" width="9.625" style="16" customWidth="1"/>
    <col min="12055" max="12055" width="10.625" style="16" customWidth="1"/>
    <col min="12056" max="12056" width="1.625" style="16" customWidth="1"/>
    <col min="12057" max="12288" width="8.625" style="16"/>
    <col min="12289" max="12289" width="20" style="16" customWidth="1"/>
    <col min="12290" max="12290" width="9.75" style="16" customWidth="1"/>
    <col min="12291" max="12291" width="2" style="16" customWidth="1"/>
    <col min="12292" max="12292" width="8.625" style="16" customWidth="1"/>
    <col min="12293" max="12293" width="2.125" style="16" customWidth="1"/>
    <col min="12294" max="12294" width="8.75" style="16" customWidth="1"/>
    <col min="12295" max="12295" width="2" style="16" customWidth="1"/>
    <col min="12296" max="12296" width="8.625" style="16" customWidth="1"/>
    <col min="12297" max="12297" width="2.25" style="16" customWidth="1"/>
    <col min="12298" max="12298" width="7.25" style="16" customWidth="1"/>
    <col min="12299" max="12299" width="4" style="16" customWidth="1"/>
    <col min="12300" max="12300" width="8" style="16" customWidth="1"/>
    <col min="12301" max="12301" width="2.125" style="16" customWidth="1"/>
    <col min="12302" max="12302" width="9.375" style="16" customWidth="1"/>
    <col min="12303" max="12303" width="2" style="16" customWidth="1"/>
    <col min="12304" max="12304" width="9.375" style="16" customWidth="1"/>
    <col min="12305" max="12305" width="2" style="16" customWidth="1"/>
    <col min="12306" max="12306" width="9.625" style="16" customWidth="1"/>
    <col min="12307" max="12307" width="1.75" style="16" customWidth="1"/>
    <col min="12308" max="12308" width="8.625" style="16" customWidth="1"/>
    <col min="12309" max="12309" width="2.625" style="16" customWidth="1"/>
    <col min="12310" max="12310" width="9.625" style="16" customWidth="1"/>
    <col min="12311" max="12311" width="10.625" style="16" customWidth="1"/>
    <col min="12312" max="12312" width="1.625" style="16" customWidth="1"/>
    <col min="12313" max="12544" width="8.625" style="16"/>
    <col min="12545" max="12545" width="20" style="16" customWidth="1"/>
    <col min="12546" max="12546" width="9.75" style="16" customWidth="1"/>
    <col min="12547" max="12547" width="2" style="16" customWidth="1"/>
    <col min="12548" max="12548" width="8.625" style="16" customWidth="1"/>
    <col min="12549" max="12549" width="2.125" style="16" customWidth="1"/>
    <col min="12550" max="12550" width="8.75" style="16" customWidth="1"/>
    <col min="12551" max="12551" width="2" style="16" customWidth="1"/>
    <col min="12552" max="12552" width="8.625" style="16" customWidth="1"/>
    <col min="12553" max="12553" width="2.25" style="16" customWidth="1"/>
    <col min="12554" max="12554" width="7.25" style="16" customWidth="1"/>
    <col min="12555" max="12555" width="4" style="16" customWidth="1"/>
    <col min="12556" max="12556" width="8" style="16" customWidth="1"/>
    <col min="12557" max="12557" width="2.125" style="16" customWidth="1"/>
    <col min="12558" max="12558" width="9.375" style="16" customWidth="1"/>
    <col min="12559" max="12559" width="2" style="16" customWidth="1"/>
    <col min="12560" max="12560" width="9.375" style="16" customWidth="1"/>
    <col min="12561" max="12561" width="2" style="16" customWidth="1"/>
    <col min="12562" max="12562" width="9.625" style="16" customWidth="1"/>
    <col min="12563" max="12563" width="1.75" style="16" customWidth="1"/>
    <col min="12564" max="12564" width="8.625" style="16" customWidth="1"/>
    <col min="12565" max="12565" width="2.625" style="16" customWidth="1"/>
    <col min="12566" max="12566" width="9.625" style="16" customWidth="1"/>
    <col min="12567" max="12567" width="10.625" style="16" customWidth="1"/>
    <col min="12568" max="12568" width="1.625" style="16" customWidth="1"/>
    <col min="12569" max="12800" width="8.625" style="16"/>
    <col min="12801" max="12801" width="20" style="16" customWidth="1"/>
    <col min="12802" max="12802" width="9.75" style="16" customWidth="1"/>
    <col min="12803" max="12803" width="2" style="16" customWidth="1"/>
    <col min="12804" max="12804" width="8.625" style="16" customWidth="1"/>
    <col min="12805" max="12805" width="2.125" style="16" customWidth="1"/>
    <col min="12806" max="12806" width="8.75" style="16" customWidth="1"/>
    <col min="12807" max="12807" width="2" style="16" customWidth="1"/>
    <col min="12808" max="12808" width="8.625" style="16" customWidth="1"/>
    <col min="12809" max="12809" width="2.25" style="16" customWidth="1"/>
    <col min="12810" max="12810" width="7.25" style="16" customWidth="1"/>
    <col min="12811" max="12811" width="4" style="16" customWidth="1"/>
    <col min="12812" max="12812" width="8" style="16" customWidth="1"/>
    <col min="12813" max="12813" width="2.125" style="16" customWidth="1"/>
    <col min="12814" max="12814" width="9.375" style="16" customWidth="1"/>
    <col min="12815" max="12815" width="2" style="16" customWidth="1"/>
    <col min="12816" max="12816" width="9.375" style="16" customWidth="1"/>
    <col min="12817" max="12817" width="2" style="16" customWidth="1"/>
    <col min="12818" max="12818" width="9.625" style="16" customWidth="1"/>
    <col min="12819" max="12819" width="1.75" style="16" customWidth="1"/>
    <col min="12820" max="12820" width="8.625" style="16" customWidth="1"/>
    <col min="12821" max="12821" width="2.625" style="16" customWidth="1"/>
    <col min="12822" max="12822" width="9.625" style="16" customWidth="1"/>
    <col min="12823" max="12823" width="10.625" style="16" customWidth="1"/>
    <col min="12824" max="12824" width="1.625" style="16" customWidth="1"/>
    <col min="12825" max="13056" width="8.625" style="16"/>
    <col min="13057" max="13057" width="20" style="16" customWidth="1"/>
    <col min="13058" max="13058" width="9.75" style="16" customWidth="1"/>
    <col min="13059" max="13059" width="2" style="16" customWidth="1"/>
    <col min="13060" max="13060" width="8.625" style="16" customWidth="1"/>
    <col min="13061" max="13061" width="2.125" style="16" customWidth="1"/>
    <col min="13062" max="13062" width="8.75" style="16" customWidth="1"/>
    <col min="13063" max="13063" width="2" style="16" customWidth="1"/>
    <col min="13064" max="13064" width="8.625" style="16" customWidth="1"/>
    <col min="13065" max="13065" width="2.25" style="16" customWidth="1"/>
    <col min="13066" max="13066" width="7.25" style="16" customWidth="1"/>
    <col min="13067" max="13067" width="4" style="16" customWidth="1"/>
    <col min="13068" max="13068" width="8" style="16" customWidth="1"/>
    <col min="13069" max="13069" width="2.125" style="16" customWidth="1"/>
    <col min="13070" max="13070" width="9.375" style="16" customWidth="1"/>
    <col min="13071" max="13071" width="2" style="16" customWidth="1"/>
    <col min="13072" max="13072" width="9.375" style="16" customWidth="1"/>
    <col min="13073" max="13073" width="2" style="16" customWidth="1"/>
    <col min="13074" max="13074" width="9.625" style="16" customWidth="1"/>
    <col min="13075" max="13075" width="1.75" style="16" customWidth="1"/>
    <col min="13076" max="13076" width="8.625" style="16" customWidth="1"/>
    <col min="13077" max="13077" width="2.625" style="16" customWidth="1"/>
    <col min="13078" max="13078" width="9.625" style="16" customWidth="1"/>
    <col min="13079" max="13079" width="10.625" style="16" customWidth="1"/>
    <col min="13080" max="13080" width="1.625" style="16" customWidth="1"/>
    <col min="13081" max="13312" width="8.625" style="16"/>
    <col min="13313" max="13313" width="20" style="16" customWidth="1"/>
    <col min="13314" max="13314" width="9.75" style="16" customWidth="1"/>
    <col min="13315" max="13315" width="2" style="16" customWidth="1"/>
    <col min="13316" max="13316" width="8.625" style="16" customWidth="1"/>
    <col min="13317" max="13317" width="2.125" style="16" customWidth="1"/>
    <col min="13318" max="13318" width="8.75" style="16" customWidth="1"/>
    <col min="13319" max="13319" width="2" style="16" customWidth="1"/>
    <col min="13320" max="13320" width="8.625" style="16" customWidth="1"/>
    <col min="13321" max="13321" width="2.25" style="16" customWidth="1"/>
    <col min="13322" max="13322" width="7.25" style="16" customWidth="1"/>
    <col min="13323" max="13323" width="4" style="16" customWidth="1"/>
    <col min="13324" max="13324" width="8" style="16" customWidth="1"/>
    <col min="13325" max="13325" width="2.125" style="16" customWidth="1"/>
    <col min="13326" max="13326" width="9.375" style="16" customWidth="1"/>
    <col min="13327" max="13327" width="2" style="16" customWidth="1"/>
    <col min="13328" max="13328" width="9.375" style="16" customWidth="1"/>
    <col min="13329" max="13329" width="2" style="16" customWidth="1"/>
    <col min="13330" max="13330" width="9.625" style="16" customWidth="1"/>
    <col min="13331" max="13331" width="1.75" style="16" customWidth="1"/>
    <col min="13332" max="13332" width="8.625" style="16" customWidth="1"/>
    <col min="13333" max="13333" width="2.625" style="16" customWidth="1"/>
    <col min="13334" max="13334" width="9.625" style="16" customWidth="1"/>
    <col min="13335" max="13335" width="10.625" style="16" customWidth="1"/>
    <col min="13336" max="13336" width="1.625" style="16" customWidth="1"/>
    <col min="13337" max="13568" width="8.625" style="16"/>
    <col min="13569" max="13569" width="20" style="16" customWidth="1"/>
    <col min="13570" max="13570" width="9.75" style="16" customWidth="1"/>
    <col min="13571" max="13571" width="2" style="16" customWidth="1"/>
    <col min="13572" max="13572" width="8.625" style="16" customWidth="1"/>
    <col min="13573" max="13573" width="2.125" style="16" customWidth="1"/>
    <col min="13574" max="13574" width="8.75" style="16" customWidth="1"/>
    <col min="13575" max="13575" width="2" style="16" customWidth="1"/>
    <col min="13576" max="13576" width="8.625" style="16" customWidth="1"/>
    <col min="13577" max="13577" width="2.25" style="16" customWidth="1"/>
    <col min="13578" max="13578" width="7.25" style="16" customWidth="1"/>
    <col min="13579" max="13579" width="4" style="16" customWidth="1"/>
    <col min="13580" max="13580" width="8" style="16" customWidth="1"/>
    <col min="13581" max="13581" width="2.125" style="16" customWidth="1"/>
    <col min="13582" max="13582" width="9.375" style="16" customWidth="1"/>
    <col min="13583" max="13583" width="2" style="16" customWidth="1"/>
    <col min="13584" max="13584" width="9.375" style="16" customWidth="1"/>
    <col min="13585" max="13585" width="2" style="16" customWidth="1"/>
    <col min="13586" max="13586" width="9.625" style="16" customWidth="1"/>
    <col min="13587" max="13587" width="1.75" style="16" customWidth="1"/>
    <col min="13588" max="13588" width="8.625" style="16" customWidth="1"/>
    <col min="13589" max="13589" width="2.625" style="16" customWidth="1"/>
    <col min="13590" max="13590" width="9.625" style="16" customWidth="1"/>
    <col min="13591" max="13591" width="10.625" style="16" customWidth="1"/>
    <col min="13592" max="13592" width="1.625" style="16" customWidth="1"/>
    <col min="13593" max="13824" width="8.625" style="16"/>
    <col min="13825" max="13825" width="20" style="16" customWidth="1"/>
    <col min="13826" max="13826" width="9.75" style="16" customWidth="1"/>
    <col min="13827" max="13827" width="2" style="16" customWidth="1"/>
    <col min="13828" max="13828" width="8.625" style="16" customWidth="1"/>
    <col min="13829" max="13829" width="2.125" style="16" customWidth="1"/>
    <col min="13830" max="13830" width="8.75" style="16" customWidth="1"/>
    <col min="13831" max="13831" width="2" style="16" customWidth="1"/>
    <col min="13832" max="13832" width="8.625" style="16" customWidth="1"/>
    <col min="13833" max="13833" width="2.25" style="16" customWidth="1"/>
    <col min="13834" max="13834" width="7.25" style="16" customWidth="1"/>
    <col min="13835" max="13835" width="4" style="16" customWidth="1"/>
    <col min="13836" max="13836" width="8" style="16" customWidth="1"/>
    <col min="13837" max="13837" width="2.125" style="16" customWidth="1"/>
    <col min="13838" max="13838" width="9.375" style="16" customWidth="1"/>
    <col min="13839" max="13839" width="2" style="16" customWidth="1"/>
    <col min="13840" max="13840" width="9.375" style="16" customWidth="1"/>
    <col min="13841" max="13841" width="2" style="16" customWidth="1"/>
    <col min="13842" max="13842" width="9.625" style="16" customWidth="1"/>
    <col min="13843" max="13843" width="1.75" style="16" customWidth="1"/>
    <col min="13844" max="13844" width="8.625" style="16" customWidth="1"/>
    <col min="13845" max="13845" width="2.625" style="16" customWidth="1"/>
    <col min="13846" max="13846" width="9.625" style="16" customWidth="1"/>
    <col min="13847" max="13847" width="10.625" style="16" customWidth="1"/>
    <col min="13848" max="13848" width="1.625" style="16" customWidth="1"/>
    <col min="13849" max="14080" width="8.625" style="16"/>
    <col min="14081" max="14081" width="20" style="16" customWidth="1"/>
    <col min="14082" max="14082" width="9.75" style="16" customWidth="1"/>
    <col min="14083" max="14083" width="2" style="16" customWidth="1"/>
    <col min="14084" max="14084" width="8.625" style="16" customWidth="1"/>
    <col min="14085" max="14085" width="2.125" style="16" customWidth="1"/>
    <col min="14086" max="14086" width="8.75" style="16" customWidth="1"/>
    <col min="14087" max="14087" width="2" style="16" customWidth="1"/>
    <col min="14088" max="14088" width="8.625" style="16" customWidth="1"/>
    <col min="14089" max="14089" width="2.25" style="16" customWidth="1"/>
    <col min="14090" max="14090" width="7.25" style="16" customWidth="1"/>
    <col min="14091" max="14091" width="4" style="16" customWidth="1"/>
    <col min="14092" max="14092" width="8" style="16" customWidth="1"/>
    <col min="14093" max="14093" width="2.125" style="16" customWidth="1"/>
    <col min="14094" max="14094" width="9.375" style="16" customWidth="1"/>
    <col min="14095" max="14095" width="2" style="16" customWidth="1"/>
    <col min="14096" max="14096" width="9.375" style="16" customWidth="1"/>
    <col min="14097" max="14097" width="2" style="16" customWidth="1"/>
    <col min="14098" max="14098" width="9.625" style="16" customWidth="1"/>
    <col min="14099" max="14099" width="1.75" style="16" customWidth="1"/>
    <col min="14100" max="14100" width="8.625" style="16" customWidth="1"/>
    <col min="14101" max="14101" width="2.625" style="16" customWidth="1"/>
    <col min="14102" max="14102" width="9.625" style="16" customWidth="1"/>
    <col min="14103" max="14103" width="10.625" style="16" customWidth="1"/>
    <col min="14104" max="14104" width="1.625" style="16" customWidth="1"/>
    <col min="14105" max="14336" width="8.625" style="16"/>
    <col min="14337" max="14337" width="20" style="16" customWidth="1"/>
    <col min="14338" max="14338" width="9.75" style="16" customWidth="1"/>
    <col min="14339" max="14339" width="2" style="16" customWidth="1"/>
    <col min="14340" max="14340" width="8.625" style="16" customWidth="1"/>
    <col min="14341" max="14341" width="2.125" style="16" customWidth="1"/>
    <col min="14342" max="14342" width="8.75" style="16" customWidth="1"/>
    <col min="14343" max="14343" width="2" style="16" customWidth="1"/>
    <col min="14344" max="14344" width="8.625" style="16" customWidth="1"/>
    <col min="14345" max="14345" width="2.25" style="16" customWidth="1"/>
    <col min="14346" max="14346" width="7.25" style="16" customWidth="1"/>
    <col min="14347" max="14347" width="4" style="16" customWidth="1"/>
    <col min="14348" max="14348" width="8" style="16" customWidth="1"/>
    <col min="14349" max="14349" width="2.125" style="16" customWidth="1"/>
    <col min="14350" max="14350" width="9.375" style="16" customWidth="1"/>
    <col min="14351" max="14351" width="2" style="16" customWidth="1"/>
    <col min="14352" max="14352" width="9.375" style="16" customWidth="1"/>
    <col min="14353" max="14353" width="2" style="16" customWidth="1"/>
    <col min="14354" max="14354" width="9.625" style="16" customWidth="1"/>
    <col min="14355" max="14355" width="1.75" style="16" customWidth="1"/>
    <col min="14356" max="14356" width="8.625" style="16" customWidth="1"/>
    <col min="14357" max="14357" width="2.625" style="16" customWidth="1"/>
    <col min="14358" max="14358" width="9.625" style="16" customWidth="1"/>
    <col min="14359" max="14359" width="10.625" style="16" customWidth="1"/>
    <col min="14360" max="14360" width="1.625" style="16" customWidth="1"/>
    <col min="14361" max="14592" width="8.625" style="16"/>
    <col min="14593" max="14593" width="20" style="16" customWidth="1"/>
    <col min="14594" max="14594" width="9.75" style="16" customWidth="1"/>
    <col min="14595" max="14595" width="2" style="16" customWidth="1"/>
    <col min="14596" max="14596" width="8.625" style="16" customWidth="1"/>
    <col min="14597" max="14597" width="2.125" style="16" customWidth="1"/>
    <col min="14598" max="14598" width="8.75" style="16" customWidth="1"/>
    <col min="14599" max="14599" width="2" style="16" customWidth="1"/>
    <col min="14600" max="14600" width="8.625" style="16" customWidth="1"/>
    <col min="14601" max="14601" width="2.25" style="16" customWidth="1"/>
    <col min="14602" max="14602" width="7.25" style="16" customWidth="1"/>
    <col min="14603" max="14603" width="4" style="16" customWidth="1"/>
    <col min="14604" max="14604" width="8" style="16" customWidth="1"/>
    <col min="14605" max="14605" width="2.125" style="16" customWidth="1"/>
    <col min="14606" max="14606" width="9.375" style="16" customWidth="1"/>
    <col min="14607" max="14607" width="2" style="16" customWidth="1"/>
    <col min="14608" max="14608" width="9.375" style="16" customWidth="1"/>
    <col min="14609" max="14609" width="2" style="16" customWidth="1"/>
    <col min="14610" max="14610" width="9.625" style="16" customWidth="1"/>
    <col min="14611" max="14611" width="1.75" style="16" customWidth="1"/>
    <col min="14612" max="14612" width="8.625" style="16" customWidth="1"/>
    <col min="14613" max="14613" width="2.625" style="16" customWidth="1"/>
    <col min="14614" max="14614" width="9.625" style="16" customWidth="1"/>
    <col min="14615" max="14615" width="10.625" style="16" customWidth="1"/>
    <col min="14616" max="14616" width="1.625" style="16" customWidth="1"/>
    <col min="14617" max="14848" width="8.625" style="16"/>
    <col min="14849" max="14849" width="20" style="16" customWidth="1"/>
    <col min="14850" max="14850" width="9.75" style="16" customWidth="1"/>
    <col min="14851" max="14851" width="2" style="16" customWidth="1"/>
    <col min="14852" max="14852" width="8.625" style="16" customWidth="1"/>
    <col min="14853" max="14853" width="2.125" style="16" customWidth="1"/>
    <col min="14854" max="14854" width="8.75" style="16" customWidth="1"/>
    <col min="14855" max="14855" width="2" style="16" customWidth="1"/>
    <col min="14856" max="14856" width="8.625" style="16" customWidth="1"/>
    <col min="14857" max="14857" width="2.25" style="16" customWidth="1"/>
    <col min="14858" max="14858" width="7.25" style="16" customWidth="1"/>
    <col min="14859" max="14859" width="4" style="16" customWidth="1"/>
    <col min="14860" max="14860" width="8" style="16" customWidth="1"/>
    <col min="14861" max="14861" width="2.125" style="16" customWidth="1"/>
    <col min="14862" max="14862" width="9.375" style="16" customWidth="1"/>
    <col min="14863" max="14863" width="2" style="16" customWidth="1"/>
    <col min="14864" max="14864" width="9.375" style="16" customWidth="1"/>
    <col min="14865" max="14865" width="2" style="16" customWidth="1"/>
    <col min="14866" max="14866" width="9.625" style="16" customWidth="1"/>
    <col min="14867" max="14867" width="1.75" style="16" customWidth="1"/>
    <col min="14868" max="14868" width="8.625" style="16" customWidth="1"/>
    <col min="14869" max="14869" width="2.625" style="16" customWidth="1"/>
    <col min="14870" max="14870" width="9.625" style="16" customWidth="1"/>
    <col min="14871" max="14871" width="10.625" style="16" customWidth="1"/>
    <col min="14872" max="14872" width="1.625" style="16" customWidth="1"/>
    <col min="14873" max="15104" width="8.625" style="16"/>
    <col min="15105" max="15105" width="20" style="16" customWidth="1"/>
    <col min="15106" max="15106" width="9.75" style="16" customWidth="1"/>
    <col min="15107" max="15107" width="2" style="16" customWidth="1"/>
    <col min="15108" max="15108" width="8.625" style="16" customWidth="1"/>
    <col min="15109" max="15109" width="2.125" style="16" customWidth="1"/>
    <col min="15110" max="15110" width="8.75" style="16" customWidth="1"/>
    <col min="15111" max="15111" width="2" style="16" customWidth="1"/>
    <col min="15112" max="15112" width="8.625" style="16" customWidth="1"/>
    <col min="15113" max="15113" width="2.25" style="16" customWidth="1"/>
    <col min="15114" max="15114" width="7.25" style="16" customWidth="1"/>
    <col min="15115" max="15115" width="4" style="16" customWidth="1"/>
    <col min="15116" max="15116" width="8" style="16" customWidth="1"/>
    <col min="15117" max="15117" width="2.125" style="16" customWidth="1"/>
    <col min="15118" max="15118" width="9.375" style="16" customWidth="1"/>
    <col min="15119" max="15119" width="2" style="16" customWidth="1"/>
    <col min="15120" max="15120" width="9.375" style="16" customWidth="1"/>
    <col min="15121" max="15121" width="2" style="16" customWidth="1"/>
    <col min="15122" max="15122" width="9.625" style="16" customWidth="1"/>
    <col min="15123" max="15123" width="1.75" style="16" customWidth="1"/>
    <col min="15124" max="15124" width="8.625" style="16" customWidth="1"/>
    <col min="15125" max="15125" width="2.625" style="16" customWidth="1"/>
    <col min="15126" max="15126" width="9.625" style="16" customWidth="1"/>
    <col min="15127" max="15127" width="10.625" style="16" customWidth="1"/>
    <col min="15128" max="15128" width="1.625" style="16" customWidth="1"/>
    <col min="15129" max="15360" width="8.625" style="16"/>
    <col min="15361" max="15361" width="20" style="16" customWidth="1"/>
    <col min="15362" max="15362" width="9.75" style="16" customWidth="1"/>
    <col min="15363" max="15363" width="2" style="16" customWidth="1"/>
    <col min="15364" max="15364" width="8.625" style="16" customWidth="1"/>
    <col min="15365" max="15365" width="2.125" style="16" customWidth="1"/>
    <col min="15366" max="15366" width="8.75" style="16" customWidth="1"/>
    <col min="15367" max="15367" width="2" style="16" customWidth="1"/>
    <col min="15368" max="15368" width="8.625" style="16" customWidth="1"/>
    <col min="15369" max="15369" width="2.25" style="16" customWidth="1"/>
    <col min="15370" max="15370" width="7.25" style="16" customWidth="1"/>
    <col min="15371" max="15371" width="4" style="16" customWidth="1"/>
    <col min="15372" max="15372" width="8" style="16" customWidth="1"/>
    <col min="15373" max="15373" width="2.125" style="16" customWidth="1"/>
    <col min="15374" max="15374" width="9.375" style="16" customWidth="1"/>
    <col min="15375" max="15375" width="2" style="16" customWidth="1"/>
    <col min="15376" max="15376" width="9.375" style="16" customWidth="1"/>
    <col min="15377" max="15377" width="2" style="16" customWidth="1"/>
    <col min="15378" max="15378" width="9.625" style="16" customWidth="1"/>
    <col min="15379" max="15379" width="1.75" style="16" customWidth="1"/>
    <col min="15380" max="15380" width="8.625" style="16" customWidth="1"/>
    <col min="15381" max="15381" width="2.625" style="16" customWidth="1"/>
    <col min="15382" max="15382" width="9.625" style="16" customWidth="1"/>
    <col min="15383" max="15383" width="10.625" style="16" customWidth="1"/>
    <col min="15384" max="15384" width="1.625" style="16" customWidth="1"/>
    <col min="15385" max="15616" width="8.625" style="16"/>
    <col min="15617" max="15617" width="20" style="16" customWidth="1"/>
    <col min="15618" max="15618" width="9.75" style="16" customWidth="1"/>
    <col min="15619" max="15619" width="2" style="16" customWidth="1"/>
    <col min="15620" max="15620" width="8.625" style="16" customWidth="1"/>
    <col min="15621" max="15621" width="2.125" style="16" customWidth="1"/>
    <col min="15622" max="15622" width="8.75" style="16" customWidth="1"/>
    <col min="15623" max="15623" width="2" style="16" customWidth="1"/>
    <col min="15624" max="15624" width="8.625" style="16" customWidth="1"/>
    <col min="15625" max="15625" width="2.25" style="16" customWidth="1"/>
    <col min="15626" max="15626" width="7.25" style="16" customWidth="1"/>
    <col min="15627" max="15627" width="4" style="16" customWidth="1"/>
    <col min="15628" max="15628" width="8" style="16" customWidth="1"/>
    <col min="15629" max="15629" width="2.125" style="16" customWidth="1"/>
    <col min="15630" max="15630" width="9.375" style="16" customWidth="1"/>
    <col min="15631" max="15631" width="2" style="16" customWidth="1"/>
    <col min="15632" max="15632" width="9.375" style="16" customWidth="1"/>
    <col min="15633" max="15633" width="2" style="16" customWidth="1"/>
    <col min="15634" max="15634" width="9.625" style="16" customWidth="1"/>
    <col min="15635" max="15635" width="1.75" style="16" customWidth="1"/>
    <col min="15636" max="15636" width="8.625" style="16" customWidth="1"/>
    <col min="15637" max="15637" width="2.625" style="16" customWidth="1"/>
    <col min="15638" max="15638" width="9.625" style="16" customWidth="1"/>
    <col min="15639" max="15639" width="10.625" style="16" customWidth="1"/>
    <col min="15640" max="15640" width="1.625" style="16" customWidth="1"/>
    <col min="15641" max="15872" width="8.625" style="16"/>
    <col min="15873" max="15873" width="20" style="16" customWidth="1"/>
    <col min="15874" max="15874" width="9.75" style="16" customWidth="1"/>
    <col min="15875" max="15875" width="2" style="16" customWidth="1"/>
    <col min="15876" max="15876" width="8.625" style="16" customWidth="1"/>
    <col min="15877" max="15877" width="2.125" style="16" customWidth="1"/>
    <col min="15878" max="15878" width="8.75" style="16" customWidth="1"/>
    <col min="15879" max="15879" width="2" style="16" customWidth="1"/>
    <col min="15880" max="15880" width="8.625" style="16" customWidth="1"/>
    <col min="15881" max="15881" width="2.25" style="16" customWidth="1"/>
    <col min="15882" max="15882" width="7.25" style="16" customWidth="1"/>
    <col min="15883" max="15883" width="4" style="16" customWidth="1"/>
    <col min="15884" max="15884" width="8" style="16" customWidth="1"/>
    <col min="15885" max="15885" width="2.125" style="16" customWidth="1"/>
    <col min="15886" max="15886" width="9.375" style="16" customWidth="1"/>
    <col min="15887" max="15887" width="2" style="16" customWidth="1"/>
    <col min="15888" max="15888" width="9.375" style="16" customWidth="1"/>
    <col min="15889" max="15889" width="2" style="16" customWidth="1"/>
    <col min="15890" max="15890" width="9.625" style="16" customWidth="1"/>
    <col min="15891" max="15891" width="1.75" style="16" customWidth="1"/>
    <col min="15892" max="15892" width="8.625" style="16" customWidth="1"/>
    <col min="15893" max="15893" width="2.625" style="16" customWidth="1"/>
    <col min="15894" max="15894" width="9.625" style="16" customWidth="1"/>
    <col min="15895" max="15895" width="10.625" style="16" customWidth="1"/>
    <col min="15896" max="15896" width="1.625" style="16" customWidth="1"/>
    <col min="15897" max="16128" width="8.625" style="16"/>
    <col min="16129" max="16129" width="20" style="16" customWidth="1"/>
    <col min="16130" max="16130" width="9.75" style="16" customWidth="1"/>
    <col min="16131" max="16131" width="2" style="16" customWidth="1"/>
    <col min="16132" max="16132" width="8.625" style="16" customWidth="1"/>
    <col min="16133" max="16133" width="2.125" style="16" customWidth="1"/>
    <col min="16134" max="16134" width="8.75" style="16" customWidth="1"/>
    <col min="16135" max="16135" width="2" style="16" customWidth="1"/>
    <col min="16136" max="16136" width="8.625" style="16" customWidth="1"/>
    <col min="16137" max="16137" width="2.25" style="16" customWidth="1"/>
    <col min="16138" max="16138" width="7.25" style="16" customWidth="1"/>
    <col min="16139" max="16139" width="4" style="16" customWidth="1"/>
    <col min="16140" max="16140" width="8" style="16" customWidth="1"/>
    <col min="16141" max="16141" width="2.125" style="16" customWidth="1"/>
    <col min="16142" max="16142" width="9.375" style="16" customWidth="1"/>
    <col min="16143" max="16143" width="2" style="16" customWidth="1"/>
    <col min="16144" max="16144" width="9.375" style="16" customWidth="1"/>
    <col min="16145" max="16145" width="2" style="16" customWidth="1"/>
    <col min="16146" max="16146" width="9.625" style="16" customWidth="1"/>
    <col min="16147" max="16147" width="1.75" style="16" customWidth="1"/>
    <col min="16148" max="16148" width="8.625" style="16" customWidth="1"/>
    <col min="16149" max="16149" width="2.625" style="16" customWidth="1"/>
    <col min="16150" max="16150" width="9.625" style="16" customWidth="1"/>
    <col min="16151" max="16151" width="10.625" style="16" customWidth="1"/>
    <col min="16152" max="16152" width="1.625" style="16" customWidth="1"/>
    <col min="16153" max="16384" width="8.625" style="16"/>
  </cols>
  <sheetData>
    <row r="1" spans="1:35" x14ac:dyDescent="0.2">
      <c r="A1" s="354" t="s">
        <v>345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7"/>
    </row>
    <row r="2" spans="1:35" x14ac:dyDescent="0.2">
      <c r="A2" s="358"/>
      <c r="B2" s="41"/>
      <c r="C2" s="41"/>
      <c r="D2" s="42" t="s">
        <v>61</v>
      </c>
      <c r="E2" s="42"/>
      <c r="F2" s="43"/>
      <c r="G2" s="41"/>
      <c r="H2" s="42"/>
      <c r="I2" s="360"/>
      <c r="J2" s="42"/>
      <c r="K2" s="41"/>
      <c r="L2" s="44"/>
      <c r="M2" s="19" t="s">
        <v>263</v>
      </c>
      <c r="N2" s="42"/>
      <c r="O2" s="41"/>
      <c r="P2" s="44"/>
      <c r="Q2" s="385"/>
      <c r="R2" s="33"/>
      <c r="AG2" s="22"/>
      <c r="AH2" s="22"/>
    </row>
    <row r="3" spans="1:35" x14ac:dyDescent="0.2">
      <c r="A3" s="358"/>
      <c r="B3" s="45"/>
      <c r="C3" s="46" t="s">
        <v>393</v>
      </c>
      <c r="D3" s="47"/>
      <c r="E3" s="386"/>
      <c r="F3" s="45"/>
      <c r="G3" s="46" t="s">
        <v>350</v>
      </c>
      <c r="H3" s="47"/>
      <c r="I3" s="360"/>
      <c r="J3" s="45"/>
      <c r="K3" s="147" t="str">
        <f>C3</f>
        <v>2023/24</v>
      </c>
      <c r="L3" s="47"/>
      <c r="M3" s="386"/>
      <c r="N3" s="45"/>
      <c r="O3" s="147" t="str">
        <f>G3</f>
        <v>2022/23</v>
      </c>
      <c r="P3" s="47"/>
      <c r="Q3" s="387"/>
      <c r="R3" s="33"/>
      <c r="AG3" s="22"/>
      <c r="AH3" s="22"/>
    </row>
    <row r="4" spans="1:35" x14ac:dyDescent="0.2">
      <c r="A4" s="362" t="s">
        <v>44</v>
      </c>
      <c r="B4" s="26" t="s">
        <v>45</v>
      </c>
      <c r="C4" s="26"/>
      <c r="D4" s="48" t="s">
        <v>46</v>
      </c>
      <c r="E4" s="23"/>
      <c r="F4" s="26" t="s">
        <v>45</v>
      </c>
      <c r="G4" s="26"/>
      <c r="H4" s="48" t="s">
        <v>46</v>
      </c>
      <c r="I4" s="15"/>
      <c r="J4" s="26" t="s">
        <v>45</v>
      </c>
      <c r="K4" s="26"/>
      <c r="L4" s="48" t="s">
        <v>46</v>
      </c>
      <c r="M4" s="23"/>
      <c r="N4" s="26" t="s">
        <v>45</v>
      </c>
      <c r="O4" s="26"/>
      <c r="P4" s="48" t="s">
        <v>46</v>
      </c>
      <c r="Q4" s="388"/>
      <c r="R4" s="29"/>
      <c r="AH4" s="27"/>
    </row>
    <row r="5" spans="1:35" x14ac:dyDescent="0.2">
      <c r="A5" s="364"/>
      <c r="B5" s="27"/>
      <c r="C5" s="27"/>
      <c r="F5" s="27"/>
      <c r="G5" s="27"/>
      <c r="J5" s="27"/>
      <c r="K5" s="27"/>
      <c r="N5" s="27"/>
      <c r="O5" s="27"/>
      <c r="Q5" s="365"/>
      <c r="AH5" s="27"/>
    </row>
    <row r="6" spans="1:35" x14ac:dyDescent="0.2">
      <c r="A6" s="358"/>
      <c r="D6" s="368"/>
      <c r="H6" s="368"/>
      <c r="L6" s="266"/>
      <c r="P6" s="266"/>
      <c r="Q6" s="365"/>
      <c r="AG6" s="27"/>
      <c r="AH6" s="27"/>
      <c r="AI6" s="22"/>
    </row>
    <row r="7" spans="1:35" x14ac:dyDescent="0.2">
      <c r="A7" s="364" t="s">
        <v>47</v>
      </c>
      <c r="B7" s="50">
        <v>16.899999999999999</v>
      </c>
      <c r="C7" s="50"/>
      <c r="D7" s="367">
        <v>3982</v>
      </c>
      <c r="E7" s="389"/>
      <c r="F7" s="50">
        <v>15.6</v>
      </c>
      <c r="G7" s="50"/>
      <c r="H7" s="367">
        <v>3455</v>
      </c>
      <c r="J7" s="50">
        <v>39.299999999999997</v>
      </c>
      <c r="K7" s="50"/>
      <c r="L7" s="367">
        <v>1108</v>
      </c>
      <c r="N7" s="50">
        <v>29.3</v>
      </c>
      <c r="O7" s="50"/>
      <c r="P7" s="367">
        <v>1230</v>
      </c>
      <c r="Q7" s="365"/>
      <c r="R7" s="33"/>
    </row>
    <row r="8" spans="1:35" x14ac:dyDescent="0.2">
      <c r="A8" s="364" t="s">
        <v>48</v>
      </c>
      <c r="B8" s="50">
        <v>15.6</v>
      </c>
      <c r="C8" s="50"/>
      <c r="D8" s="367">
        <v>9492</v>
      </c>
      <c r="E8" s="389"/>
      <c r="F8" s="50">
        <v>16.100000000000001</v>
      </c>
      <c r="G8" s="50"/>
      <c r="H8" s="367">
        <v>7465</v>
      </c>
      <c r="J8" s="50">
        <v>30.3</v>
      </c>
      <c r="K8" s="50"/>
      <c r="L8" s="367">
        <v>1224</v>
      </c>
      <c r="N8" s="50">
        <v>24.3</v>
      </c>
      <c r="O8" s="50"/>
      <c r="P8" s="367">
        <v>1738</v>
      </c>
      <c r="Q8" s="365"/>
      <c r="R8" s="33"/>
      <c r="AG8" s="29"/>
      <c r="AI8" s="29"/>
    </row>
    <row r="9" spans="1:35" x14ac:dyDescent="0.2">
      <c r="A9" s="364" t="s">
        <v>49</v>
      </c>
      <c r="B9" s="50">
        <v>15.4</v>
      </c>
      <c r="C9" s="50"/>
      <c r="D9" s="367">
        <v>12004</v>
      </c>
      <c r="E9" s="389"/>
      <c r="F9" s="50">
        <v>16</v>
      </c>
      <c r="G9" s="50"/>
      <c r="H9" s="367">
        <v>8676</v>
      </c>
      <c r="I9" s="368"/>
      <c r="J9" s="50">
        <v>24.7</v>
      </c>
      <c r="K9" s="50"/>
      <c r="L9" s="367">
        <v>3145</v>
      </c>
      <c r="N9" s="50">
        <v>33.1</v>
      </c>
      <c r="O9" s="50"/>
      <c r="P9" s="367">
        <v>1683</v>
      </c>
      <c r="Q9" s="365"/>
      <c r="R9" s="29"/>
      <c r="AG9" s="29"/>
      <c r="AI9" s="29"/>
    </row>
    <row r="10" spans="1:35" x14ac:dyDescent="0.2">
      <c r="A10" s="364" t="s">
        <v>50</v>
      </c>
      <c r="B10" s="50">
        <v>15.6</v>
      </c>
      <c r="C10" s="50"/>
      <c r="D10" s="367">
        <v>12722</v>
      </c>
      <c r="E10" s="389"/>
      <c r="F10" s="50">
        <v>16.2</v>
      </c>
      <c r="G10" s="50"/>
      <c r="H10" s="367">
        <v>7667</v>
      </c>
      <c r="J10" s="50">
        <v>25.3</v>
      </c>
      <c r="K10" s="50"/>
      <c r="L10" s="367">
        <v>2202</v>
      </c>
      <c r="N10" s="50">
        <v>33.1</v>
      </c>
      <c r="O10" s="50"/>
      <c r="P10" s="367">
        <v>1949</v>
      </c>
      <c r="Q10" s="365"/>
      <c r="R10" s="29"/>
      <c r="AG10" s="29"/>
      <c r="AI10" s="29"/>
    </row>
    <row r="11" spans="1:35" x14ac:dyDescent="0.2">
      <c r="A11" s="364" t="s">
        <v>51</v>
      </c>
      <c r="B11" s="50">
        <v>15.7</v>
      </c>
      <c r="C11" s="50"/>
      <c r="D11" s="367">
        <v>9868</v>
      </c>
      <c r="E11" s="389"/>
      <c r="F11" s="50">
        <v>16.8</v>
      </c>
      <c r="G11" s="50"/>
      <c r="H11" s="367">
        <v>9198</v>
      </c>
      <c r="J11" s="50">
        <v>25.8</v>
      </c>
      <c r="K11" s="50"/>
      <c r="L11" s="367">
        <v>2236</v>
      </c>
      <c r="N11" s="50">
        <v>34.700000000000003</v>
      </c>
      <c r="O11" s="50"/>
      <c r="P11" s="367">
        <v>2636</v>
      </c>
      <c r="Q11" s="365"/>
      <c r="R11" s="29"/>
      <c r="AG11" s="29"/>
      <c r="AI11" s="29"/>
    </row>
    <row r="12" spans="1:35" x14ac:dyDescent="0.2">
      <c r="A12" s="364" t="s">
        <v>52</v>
      </c>
      <c r="B12" s="366">
        <v>16</v>
      </c>
      <c r="C12" s="370"/>
      <c r="D12" s="367">
        <v>13829</v>
      </c>
      <c r="E12" s="389"/>
      <c r="F12" s="366">
        <v>16.8</v>
      </c>
      <c r="G12" s="369"/>
      <c r="H12" s="367">
        <v>12032</v>
      </c>
      <c r="J12" s="366">
        <v>28.4</v>
      </c>
      <c r="K12" s="370"/>
      <c r="L12" s="367">
        <v>5533</v>
      </c>
      <c r="M12" s="378"/>
      <c r="N12" s="366">
        <v>35</v>
      </c>
      <c r="O12" s="369"/>
      <c r="P12" s="367">
        <v>2910</v>
      </c>
      <c r="Q12" s="371"/>
      <c r="R12" s="29"/>
      <c r="AG12" s="29"/>
      <c r="AI12" s="29"/>
    </row>
    <row r="13" spans="1:35" x14ac:dyDescent="0.2">
      <c r="A13" s="364" t="s">
        <v>71</v>
      </c>
      <c r="B13" s="366">
        <v>16.3</v>
      </c>
      <c r="C13" s="370"/>
      <c r="D13" s="367">
        <v>14297</v>
      </c>
      <c r="E13" s="30"/>
      <c r="F13" s="366">
        <v>17.100000000000001</v>
      </c>
      <c r="G13" s="369"/>
      <c r="H13" s="367">
        <v>9333</v>
      </c>
      <c r="J13" s="366">
        <v>23.9</v>
      </c>
      <c r="K13" s="370"/>
      <c r="L13" s="367">
        <v>3373</v>
      </c>
      <c r="M13" s="378"/>
      <c r="N13" s="366">
        <v>33.5</v>
      </c>
      <c r="O13" s="369"/>
      <c r="P13" s="367">
        <v>1711</v>
      </c>
      <c r="Q13" s="371"/>
      <c r="R13" s="29"/>
      <c r="AG13" s="29"/>
      <c r="AI13" s="29"/>
    </row>
    <row r="14" spans="1:35" x14ac:dyDescent="0.2">
      <c r="A14" s="364" t="s">
        <v>53</v>
      </c>
      <c r="B14" s="366">
        <v>16.3</v>
      </c>
      <c r="C14" s="370"/>
      <c r="D14" s="367">
        <v>9909</v>
      </c>
      <c r="E14" s="389"/>
      <c r="F14" s="366">
        <v>17.100000000000001</v>
      </c>
      <c r="G14" s="369"/>
      <c r="H14" s="367">
        <v>12510</v>
      </c>
      <c r="J14" s="366">
        <v>21.2</v>
      </c>
      <c r="K14" s="370"/>
      <c r="L14" s="367">
        <v>3082</v>
      </c>
      <c r="N14" s="366">
        <v>33.700000000000003</v>
      </c>
      <c r="O14" s="369"/>
      <c r="P14" s="367">
        <v>1902</v>
      </c>
      <c r="Q14" s="365"/>
      <c r="R14" s="29"/>
      <c r="AG14" s="29"/>
      <c r="AI14" s="29"/>
    </row>
    <row r="15" spans="1:35" x14ac:dyDescent="0.2">
      <c r="A15" s="364" t="s">
        <v>54</v>
      </c>
      <c r="B15" s="366">
        <v>16.399999999999999</v>
      </c>
      <c r="C15" s="370"/>
      <c r="D15" s="367">
        <v>8034</v>
      </c>
      <c r="E15" s="389"/>
      <c r="F15" s="366">
        <v>17.100000000000001</v>
      </c>
      <c r="G15" s="369"/>
      <c r="H15" s="367">
        <v>7940</v>
      </c>
      <c r="J15" s="366">
        <v>21.5</v>
      </c>
      <c r="K15" s="370"/>
      <c r="L15" s="367">
        <v>2438</v>
      </c>
      <c r="M15" s="378"/>
      <c r="N15" s="366">
        <v>38.200000000000003</v>
      </c>
      <c r="O15" s="369"/>
      <c r="P15" s="367">
        <v>1260</v>
      </c>
      <c r="Q15" s="371"/>
      <c r="R15" s="29"/>
      <c r="AG15" s="29"/>
      <c r="AI15" s="29"/>
    </row>
    <row r="16" spans="1:35" x14ac:dyDescent="0.2">
      <c r="A16" s="364" t="s">
        <v>62</v>
      </c>
      <c r="B16" s="366"/>
      <c r="C16" s="370"/>
      <c r="D16" s="367"/>
      <c r="E16" s="389"/>
      <c r="F16" s="366">
        <v>17</v>
      </c>
      <c r="G16" s="369"/>
      <c r="H16" s="367">
        <v>6702</v>
      </c>
      <c r="J16" s="366"/>
      <c r="K16" s="370"/>
      <c r="L16" s="367"/>
      <c r="N16" s="366">
        <v>37.6</v>
      </c>
      <c r="O16" s="369"/>
      <c r="P16" s="367">
        <v>1335</v>
      </c>
      <c r="Q16" s="365"/>
      <c r="R16" s="29"/>
      <c r="AG16" s="29"/>
      <c r="AI16" s="29"/>
    </row>
    <row r="17" spans="1:38" x14ac:dyDescent="0.2">
      <c r="A17" s="364" t="s">
        <v>56</v>
      </c>
      <c r="B17" s="366"/>
      <c r="C17" s="370"/>
      <c r="D17" s="367"/>
      <c r="E17" s="389"/>
      <c r="F17" s="366">
        <v>16.600000000000001</v>
      </c>
      <c r="G17" s="369"/>
      <c r="H17" s="367">
        <v>4903</v>
      </c>
      <c r="J17" s="366"/>
      <c r="K17" s="370"/>
      <c r="L17" s="367"/>
      <c r="M17" s="378"/>
      <c r="N17" s="366">
        <v>36.200000000000003</v>
      </c>
      <c r="O17" s="369"/>
      <c r="P17" s="367">
        <v>1527</v>
      </c>
      <c r="Q17" s="371"/>
      <c r="R17" s="29"/>
      <c r="AG17" s="29"/>
      <c r="AI17" s="29"/>
    </row>
    <row r="18" spans="1:38" x14ac:dyDescent="0.2">
      <c r="A18" s="364" t="s">
        <v>63</v>
      </c>
      <c r="B18" s="366"/>
      <c r="C18" s="370"/>
      <c r="D18" s="390"/>
      <c r="E18" s="389"/>
      <c r="F18" s="366">
        <v>16.8</v>
      </c>
      <c r="G18" s="369"/>
      <c r="H18" s="390">
        <v>3965</v>
      </c>
      <c r="J18" s="366"/>
      <c r="K18" s="370"/>
      <c r="L18" s="390"/>
      <c r="M18" s="378"/>
      <c r="N18" s="366">
        <v>38.1</v>
      </c>
      <c r="O18" s="369"/>
      <c r="P18" s="390">
        <v>1282</v>
      </c>
      <c r="Q18" s="371"/>
      <c r="R18" s="29"/>
      <c r="AG18" s="29"/>
      <c r="AI18" s="29"/>
    </row>
    <row r="19" spans="1:38" s="51" customFormat="1" x14ac:dyDescent="0.2">
      <c r="A19" s="391"/>
      <c r="C19" s="52"/>
      <c r="D19" s="52"/>
      <c r="E19" s="52"/>
      <c r="G19" s="52"/>
      <c r="H19" s="52"/>
      <c r="I19" s="52"/>
      <c r="K19" s="52"/>
      <c r="L19" s="52"/>
      <c r="M19" s="52"/>
      <c r="O19" s="52"/>
      <c r="P19" s="52"/>
      <c r="Q19" s="392"/>
      <c r="R19" s="52"/>
      <c r="AG19" s="53"/>
      <c r="AI19" s="53"/>
    </row>
    <row r="20" spans="1:38" ht="12.6" customHeight="1" x14ac:dyDescent="0.2">
      <c r="A20" s="364" t="s">
        <v>379</v>
      </c>
      <c r="B20" s="393">
        <f>(B7*D7/D24)+(B8*D8/D24)+(B9*D9/D24)+(B10*D10/D24)+(B11*D11/D24)+(B12*D12/D24)+( B13*D13/D24)+(B14*D14/D24)+(B15*D15/D24)+(B16*D16/D24)+(B17*D17/D24)+(B18*D18/D24)</f>
        <v>15.947000647991757</v>
      </c>
      <c r="F20" s="393"/>
      <c r="J20" s="393">
        <f>(J7*L7/L24)+(J8*L8/L24)+(J9*L9/L24)+(J10*L10/L24)+(J11*L11/L24)+(J12*L12/L24)+( J13*L13/L24)+(J14*L14/L24)+(J15*L15/L24)+(J16*L16/L24)+(J17*L17/L24)+(J18*L18/L24)</f>
        <v>25.768037467647176</v>
      </c>
      <c r="K20" s="368"/>
      <c r="N20" s="393"/>
      <c r="O20" s="368"/>
      <c r="Q20" s="365"/>
      <c r="R20" s="54"/>
      <c r="AG20" s="29"/>
      <c r="AH20" s="27"/>
    </row>
    <row r="21" spans="1:38" ht="12.6" customHeight="1" x14ac:dyDescent="0.2">
      <c r="A21" s="364"/>
      <c r="B21" s="393"/>
      <c r="F21" s="393"/>
      <c r="J21" s="393"/>
      <c r="K21" s="368"/>
      <c r="N21" s="393"/>
      <c r="O21" s="368"/>
      <c r="Q21" s="365"/>
      <c r="R21" s="54"/>
      <c r="AG21" s="29"/>
      <c r="AH21" s="27"/>
    </row>
    <row r="22" spans="1:38" x14ac:dyDescent="0.2">
      <c r="A22" s="364" t="s">
        <v>64</v>
      </c>
      <c r="B22" s="394">
        <v>16.100000000000001</v>
      </c>
      <c r="C22" s="368"/>
      <c r="F22" s="394">
        <v>16.7</v>
      </c>
      <c r="G22" s="368"/>
      <c r="J22" s="395">
        <v>25</v>
      </c>
      <c r="K22" s="27"/>
      <c r="N22" s="395">
        <v>33.799999999999997</v>
      </c>
      <c r="O22" s="27"/>
      <c r="Q22" s="365"/>
      <c r="R22" s="54"/>
      <c r="AG22" s="29"/>
      <c r="AH22" s="27"/>
    </row>
    <row r="23" spans="1:38" x14ac:dyDescent="0.2">
      <c r="A23" s="358" t="s">
        <v>58</v>
      </c>
      <c r="B23" s="378"/>
      <c r="C23" s="378"/>
      <c r="D23" s="396">
        <f>AVERAGE(D7:D18)</f>
        <v>10459.666666666666</v>
      </c>
      <c r="E23" s="29"/>
      <c r="F23" s="378"/>
      <c r="G23" s="378"/>
      <c r="H23" s="396">
        <f>AVERAGE(H7:H18)</f>
        <v>7820.5</v>
      </c>
      <c r="J23" s="378"/>
      <c r="K23" s="395"/>
      <c r="L23" s="396">
        <f>AVERAGE(L7:L18)</f>
        <v>2704.5555555555557</v>
      </c>
      <c r="N23" s="378"/>
      <c r="O23" s="395"/>
      <c r="P23" s="396">
        <f>AVERAGE(P7:P18)</f>
        <v>1763.5833333333333</v>
      </c>
      <c r="Q23" s="365"/>
      <c r="R23" s="29"/>
      <c r="AG23" s="29"/>
      <c r="AI23" s="29"/>
    </row>
    <row r="24" spans="1:38" ht="12.75" thickBot="1" x14ac:dyDescent="0.25">
      <c r="A24" s="379" t="s">
        <v>59</v>
      </c>
      <c r="B24" s="381"/>
      <c r="C24" s="381"/>
      <c r="D24" s="397">
        <f>SUM(D7:D18)</f>
        <v>94137</v>
      </c>
      <c r="E24" s="398"/>
      <c r="F24" s="381"/>
      <c r="G24" s="381"/>
      <c r="H24" s="397">
        <f>SUM(H7:H18)</f>
        <v>93846</v>
      </c>
      <c r="I24" s="383"/>
      <c r="J24" s="381"/>
      <c r="K24" s="381"/>
      <c r="L24" s="397">
        <f>SUM(L7:L18)</f>
        <v>24341</v>
      </c>
      <c r="M24" s="383"/>
      <c r="N24" s="381"/>
      <c r="O24" s="381"/>
      <c r="P24" s="397">
        <f>SUM(P7:P18)</f>
        <v>21163</v>
      </c>
      <c r="Q24" s="384"/>
      <c r="R24" s="29"/>
      <c r="AG24" s="29"/>
      <c r="AH24" s="27"/>
      <c r="AI24" s="29"/>
    </row>
    <row r="25" spans="1:38" x14ac:dyDescent="0.2">
      <c r="A25" s="35" t="s">
        <v>448</v>
      </c>
      <c r="AK25" s="34"/>
      <c r="AL25" s="27"/>
    </row>
    <row r="26" spans="1:38" x14ac:dyDescent="0.2">
      <c r="A26" s="35" t="s">
        <v>264</v>
      </c>
      <c r="D26" s="55"/>
      <c r="E26" s="55"/>
      <c r="F26" s="55"/>
      <c r="G26" s="55"/>
      <c r="AK26" s="34"/>
      <c r="AL26" s="27"/>
    </row>
    <row r="27" spans="1:38" x14ac:dyDescent="0.2">
      <c r="A27" s="16" t="s">
        <v>43</v>
      </c>
      <c r="D27" s="55"/>
      <c r="E27" s="55"/>
      <c r="F27" s="55"/>
      <c r="G27" s="55"/>
      <c r="AK27" s="34"/>
      <c r="AL27" s="27"/>
    </row>
    <row r="28" spans="1:38" ht="14.25" customHeight="1" x14ac:dyDescent="0.2">
      <c r="A28" s="35" t="s">
        <v>430</v>
      </c>
      <c r="D28" s="55"/>
      <c r="E28" s="55"/>
      <c r="F28" s="55"/>
      <c r="G28" s="55"/>
    </row>
    <row r="29" spans="1:38" ht="14.25" customHeight="1" x14ac:dyDescent="0.2">
      <c r="A29" s="35" t="s">
        <v>406</v>
      </c>
      <c r="D29" s="55"/>
      <c r="E29" s="55"/>
      <c r="F29" s="55"/>
      <c r="G29" s="55"/>
    </row>
    <row r="30" spans="1:38" ht="14.25" customHeight="1" x14ac:dyDescent="0.2">
      <c r="A30" s="13" t="s">
        <v>433</v>
      </c>
      <c r="D30" s="55"/>
      <c r="E30" s="55"/>
      <c r="F30" s="55"/>
      <c r="G30" s="55"/>
    </row>
    <row r="31" spans="1:38" ht="12.75" customHeight="1" x14ac:dyDescent="0.2">
      <c r="A31" s="27" t="s">
        <v>463</v>
      </c>
      <c r="B31" s="36"/>
      <c r="F31" s="36"/>
      <c r="J31" s="36"/>
      <c r="N31" s="36"/>
      <c r="R31" s="36"/>
    </row>
    <row r="32" spans="1:38" x14ac:dyDescent="0.2">
      <c r="A32" s="6" t="s">
        <v>483</v>
      </c>
      <c r="B32" s="37"/>
      <c r="C32" s="17"/>
      <c r="D32" s="17"/>
      <c r="E32" s="17"/>
      <c r="F32" s="37"/>
      <c r="G32" s="17"/>
      <c r="H32" s="17"/>
      <c r="I32" s="17"/>
      <c r="K32" s="17"/>
      <c r="L32" s="17"/>
      <c r="M32" s="17"/>
      <c r="O32" s="17"/>
      <c r="P32" s="17"/>
      <c r="Q32" s="17"/>
      <c r="R32" s="37"/>
      <c r="S32" s="17"/>
      <c r="T32" s="17"/>
    </row>
    <row r="33" spans="1:38" x14ac:dyDescent="0.2">
      <c r="B33" s="16" t="s">
        <v>60</v>
      </c>
      <c r="F33" s="16" t="s">
        <v>60</v>
      </c>
      <c r="R33" s="16" t="s">
        <v>60</v>
      </c>
    </row>
    <row r="35" spans="1:38" x14ac:dyDescent="0.2">
      <c r="A35" s="27"/>
      <c r="AK35" s="34"/>
      <c r="AL35" s="27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9" transitionEvaluation="1" codeName="Sheet5"/>
  <dimension ref="A1:BD33"/>
  <sheetViews>
    <sheetView showGridLines="0" topLeftCell="A9" zoomScale="120" zoomScaleNormal="120" workbookViewId="0">
      <selection activeCell="G16" sqref="G16"/>
    </sheetView>
  </sheetViews>
  <sheetFormatPr defaultColWidth="7.625" defaultRowHeight="12" x14ac:dyDescent="0.2"/>
  <cols>
    <col min="1" max="1" width="19.25" style="16" customWidth="1"/>
    <col min="2" max="2" width="13.25" style="16" customWidth="1"/>
    <col min="3" max="3" width="4.125" style="16" customWidth="1"/>
    <col min="4" max="4" width="7.75" style="16" customWidth="1"/>
    <col min="5" max="5" width="4.375" style="16" customWidth="1"/>
    <col min="6" max="6" width="10.125" style="16" customWidth="1"/>
    <col min="7" max="7" width="12" style="16" customWidth="1"/>
    <col min="8" max="8" width="2.375" style="16" customWidth="1"/>
    <col min="9" max="9" width="9.125" style="16" customWidth="1"/>
    <col min="10" max="10" width="9.625" style="16" customWidth="1"/>
    <col min="11" max="11" width="3.625" style="16" customWidth="1"/>
    <col min="12" max="12" width="10.625" style="16" customWidth="1"/>
    <col min="13" max="13" width="9.125" style="16" customWidth="1"/>
    <col min="14" max="14" width="4" style="16" customWidth="1"/>
    <col min="15" max="15" width="9.875" style="16" customWidth="1"/>
    <col min="16" max="16" width="9.375" style="16" customWidth="1"/>
    <col min="17" max="17" width="7.625" style="16" customWidth="1"/>
    <col min="18" max="19" width="7.375" style="16" customWidth="1"/>
    <col min="20" max="20" width="8.375" style="16" customWidth="1"/>
    <col min="21" max="21" width="2.625" style="16" customWidth="1"/>
    <col min="22" max="34" width="7.625" style="16" customWidth="1"/>
    <col min="35" max="35" width="3.625" style="16" customWidth="1"/>
    <col min="36" max="38" width="7.625" style="16" customWidth="1"/>
    <col min="39" max="39" width="1.625" style="16" customWidth="1"/>
    <col min="40" max="56" width="7.625" style="16" customWidth="1"/>
    <col min="57" max="256" width="7.625" style="16"/>
    <col min="257" max="257" width="19.25" style="16" customWidth="1"/>
    <col min="258" max="258" width="13.25" style="16" customWidth="1"/>
    <col min="259" max="259" width="4.125" style="16" customWidth="1"/>
    <col min="260" max="260" width="7.75" style="16" customWidth="1"/>
    <col min="261" max="261" width="4.375" style="16" customWidth="1"/>
    <col min="262" max="262" width="10.125" style="16" customWidth="1"/>
    <col min="263" max="263" width="12" style="16" customWidth="1"/>
    <col min="264" max="264" width="2.375" style="16" customWidth="1"/>
    <col min="265" max="265" width="9.125" style="16" customWidth="1"/>
    <col min="266" max="266" width="9.625" style="16" customWidth="1"/>
    <col min="267" max="267" width="3.625" style="16" customWidth="1"/>
    <col min="268" max="268" width="10.625" style="16" customWidth="1"/>
    <col min="269" max="269" width="9.125" style="16" customWidth="1"/>
    <col min="270" max="270" width="4" style="16" customWidth="1"/>
    <col min="271" max="271" width="9.875" style="16" customWidth="1"/>
    <col min="272" max="272" width="9.375" style="16" customWidth="1"/>
    <col min="273" max="273" width="7.625" style="16" customWidth="1"/>
    <col min="274" max="275" width="7.375" style="16" customWidth="1"/>
    <col min="276" max="276" width="8.375" style="16" customWidth="1"/>
    <col min="277" max="277" width="2.625" style="16" customWidth="1"/>
    <col min="278" max="290" width="7.625" style="16" customWidth="1"/>
    <col min="291" max="291" width="3.625" style="16" customWidth="1"/>
    <col min="292" max="294" width="7.625" style="16" customWidth="1"/>
    <col min="295" max="295" width="1.625" style="16" customWidth="1"/>
    <col min="296" max="312" width="7.625" style="16" customWidth="1"/>
    <col min="313" max="512" width="7.625" style="16"/>
    <col min="513" max="513" width="19.25" style="16" customWidth="1"/>
    <col min="514" max="514" width="13.25" style="16" customWidth="1"/>
    <col min="515" max="515" width="4.125" style="16" customWidth="1"/>
    <col min="516" max="516" width="7.75" style="16" customWidth="1"/>
    <col min="517" max="517" width="4.375" style="16" customWidth="1"/>
    <col min="518" max="518" width="10.125" style="16" customWidth="1"/>
    <col min="519" max="519" width="12" style="16" customWidth="1"/>
    <col min="520" max="520" width="2.375" style="16" customWidth="1"/>
    <col min="521" max="521" width="9.125" style="16" customWidth="1"/>
    <col min="522" max="522" width="9.625" style="16" customWidth="1"/>
    <col min="523" max="523" width="3.625" style="16" customWidth="1"/>
    <col min="524" max="524" width="10.625" style="16" customWidth="1"/>
    <col min="525" max="525" width="9.125" style="16" customWidth="1"/>
    <col min="526" max="526" width="4" style="16" customWidth="1"/>
    <col min="527" max="527" width="9.875" style="16" customWidth="1"/>
    <col min="528" max="528" width="9.375" style="16" customWidth="1"/>
    <col min="529" max="529" width="7.625" style="16" customWidth="1"/>
    <col min="530" max="531" width="7.375" style="16" customWidth="1"/>
    <col min="532" max="532" width="8.375" style="16" customWidth="1"/>
    <col min="533" max="533" width="2.625" style="16" customWidth="1"/>
    <col min="534" max="546" width="7.625" style="16" customWidth="1"/>
    <col min="547" max="547" width="3.625" style="16" customWidth="1"/>
    <col min="548" max="550" width="7.625" style="16" customWidth="1"/>
    <col min="551" max="551" width="1.625" style="16" customWidth="1"/>
    <col min="552" max="568" width="7.625" style="16" customWidth="1"/>
    <col min="569" max="768" width="7.625" style="16"/>
    <col min="769" max="769" width="19.25" style="16" customWidth="1"/>
    <col min="770" max="770" width="13.25" style="16" customWidth="1"/>
    <col min="771" max="771" width="4.125" style="16" customWidth="1"/>
    <col min="772" max="772" width="7.75" style="16" customWidth="1"/>
    <col min="773" max="773" width="4.375" style="16" customWidth="1"/>
    <col min="774" max="774" width="10.125" style="16" customWidth="1"/>
    <col min="775" max="775" width="12" style="16" customWidth="1"/>
    <col min="776" max="776" width="2.375" style="16" customWidth="1"/>
    <col min="777" max="777" width="9.125" style="16" customWidth="1"/>
    <col min="778" max="778" width="9.625" style="16" customWidth="1"/>
    <col min="779" max="779" width="3.625" style="16" customWidth="1"/>
    <col min="780" max="780" width="10.625" style="16" customWidth="1"/>
    <col min="781" max="781" width="9.125" style="16" customWidth="1"/>
    <col min="782" max="782" width="4" style="16" customWidth="1"/>
    <col min="783" max="783" width="9.875" style="16" customWidth="1"/>
    <col min="784" max="784" width="9.375" style="16" customWidth="1"/>
    <col min="785" max="785" width="7.625" style="16" customWidth="1"/>
    <col min="786" max="787" width="7.375" style="16" customWidth="1"/>
    <col min="788" max="788" width="8.375" style="16" customWidth="1"/>
    <col min="789" max="789" width="2.625" style="16" customWidth="1"/>
    <col min="790" max="802" width="7.625" style="16" customWidth="1"/>
    <col min="803" max="803" width="3.625" style="16" customWidth="1"/>
    <col min="804" max="806" width="7.625" style="16" customWidth="1"/>
    <col min="807" max="807" width="1.625" style="16" customWidth="1"/>
    <col min="808" max="824" width="7.625" style="16" customWidth="1"/>
    <col min="825" max="1024" width="7.625" style="16"/>
    <col min="1025" max="1025" width="19.25" style="16" customWidth="1"/>
    <col min="1026" max="1026" width="13.25" style="16" customWidth="1"/>
    <col min="1027" max="1027" width="4.125" style="16" customWidth="1"/>
    <col min="1028" max="1028" width="7.75" style="16" customWidth="1"/>
    <col min="1029" max="1029" width="4.375" style="16" customWidth="1"/>
    <col min="1030" max="1030" width="10.125" style="16" customWidth="1"/>
    <col min="1031" max="1031" width="12" style="16" customWidth="1"/>
    <col min="1032" max="1032" width="2.375" style="16" customWidth="1"/>
    <col min="1033" max="1033" width="9.125" style="16" customWidth="1"/>
    <col min="1034" max="1034" width="9.625" style="16" customWidth="1"/>
    <col min="1035" max="1035" width="3.625" style="16" customWidth="1"/>
    <col min="1036" max="1036" width="10.625" style="16" customWidth="1"/>
    <col min="1037" max="1037" width="9.125" style="16" customWidth="1"/>
    <col min="1038" max="1038" width="4" style="16" customWidth="1"/>
    <col min="1039" max="1039" width="9.875" style="16" customWidth="1"/>
    <col min="1040" max="1040" width="9.375" style="16" customWidth="1"/>
    <col min="1041" max="1041" width="7.625" style="16" customWidth="1"/>
    <col min="1042" max="1043" width="7.375" style="16" customWidth="1"/>
    <col min="1044" max="1044" width="8.375" style="16" customWidth="1"/>
    <col min="1045" max="1045" width="2.625" style="16" customWidth="1"/>
    <col min="1046" max="1058" width="7.625" style="16" customWidth="1"/>
    <col min="1059" max="1059" width="3.625" style="16" customWidth="1"/>
    <col min="1060" max="1062" width="7.625" style="16" customWidth="1"/>
    <col min="1063" max="1063" width="1.625" style="16" customWidth="1"/>
    <col min="1064" max="1080" width="7.625" style="16" customWidth="1"/>
    <col min="1081" max="1280" width="7.625" style="16"/>
    <col min="1281" max="1281" width="19.25" style="16" customWidth="1"/>
    <col min="1282" max="1282" width="13.25" style="16" customWidth="1"/>
    <col min="1283" max="1283" width="4.125" style="16" customWidth="1"/>
    <col min="1284" max="1284" width="7.75" style="16" customWidth="1"/>
    <col min="1285" max="1285" width="4.375" style="16" customWidth="1"/>
    <col min="1286" max="1286" width="10.125" style="16" customWidth="1"/>
    <col min="1287" max="1287" width="12" style="16" customWidth="1"/>
    <col min="1288" max="1288" width="2.375" style="16" customWidth="1"/>
    <col min="1289" max="1289" width="9.125" style="16" customWidth="1"/>
    <col min="1290" max="1290" width="9.625" style="16" customWidth="1"/>
    <col min="1291" max="1291" width="3.625" style="16" customWidth="1"/>
    <col min="1292" max="1292" width="10.625" style="16" customWidth="1"/>
    <col min="1293" max="1293" width="9.125" style="16" customWidth="1"/>
    <col min="1294" max="1294" width="4" style="16" customWidth="1"/>
    <col min="1295" max="1295" width="9.875" style="16" customWidth="1"/>
    <col min="1296" max="1296" width="9.375" style="16" customWidth="1"/>
    <col min="1297" max="1297" width="7.625" style="16" customWidth="1"/>
    <col min="1298" max="1299" width="7.375" style="16" customWidth="1"/>
    <col min="1300" max="1300" width="8.375" style="16" customWidth="1"/>
    <col min="1301" max="1301" width="2.625" style="16" customWidth="1"/>
    <col min="1302" max="1314" width="7.625" style="16" customWidth="1"/>
    <col min="1315" max="1315" width="3.625" style="16" customWidth="1"/>
    <col min="1316" max="1318" width="7.625" style="16" customWidth="1"/>
    <col min="1319" max="1319" width="1.625" style="16" customWidth="1"/>
    <col min="1320" max="1336" width="7.625" style="16" customWidth="1"/>
    <col min="1337" max="1536" width="7.625" style="16"/>
    <col min="1537" max="1537" width="19.25" style="16" customWidth="1"/>
    <col min="1538" max="1538" width="13.25" style="16" customWidth="1"/>
    <col min="1539" max="1539" width="4.125" style="16" customWidth="1"/>
    <col min="1540" max="1540" width="7.75" style="16" customWidth="1"/>
    <col min="1541" max="1541" width="4.375" style="16" customWidth="1"/>
    <col min="1542" max="1542" width="10.125" style="16" customWidth="1"/>
    <col min="1543" max="1543" width="12" style="16" customWidth="1"/>
    <col min="1544" max="1544" width="2.375" style="16" customWidth="1"/>
    <col min="1545" max="1545" width="9.125" style="16" customWidth="1"/>
    <col min="1546" max="1546" width="9.625" style="16" customWidth="1"/>
    <col min="1547" max="1547" width="3.625" style="16" customWidth="1"/>
    <col min="1548" max="1548" width="10.625" style="16" customWidth="1"/>
    <col min="1549" max="1549" width="9.125" style="16" customWidth="1"/>
    <col min="1550" max="1550" width="4" style="16" customWidth="1"/>
    <col min="1551" max="1551" width="9.875" style="16" customWidth="1"/>
    <col min="1552" max="1552" width="9.375" style="16" customWidth="1"/>
    <col min="1553" max="1553" width="7.625" style="16" customWidth="1"/>
    <col min="1554" max="1555" width="7.375" style="16" customWidth="1"/>
    <col min="1556" max="1556" width="8.375" style="16" customWidth="1"/>
    <col min="1557" max="1557" width="2.625" style="16" customWidth="1"/>
    <col min="1558" max="1570" width="7.625" style="16" customWidth="1"/>
    <col min="1571" max="1571" width="3.625" style="16" customWidth="1"/>
    <col min="1572" max="1574" width="7.625" style="16" customWidth="1"/>
    <col min="1575" max="1575" width="1.625" style="16" customWidth="1"/>
    <col min="1576" max="1592" width="7.625" style="16" customWidth="1"/>
    <col min="1593" max="1792" width="7.625" style="16"/>
    <col min="1793" max="1793" width="19.25" style="16" customWidth="1"/>
    <col min="1794" max="1794" width="13.25" style="16" customWidth="1"/>
    <col min="1795" max="1795" width="4.125" style="16" customWidth="1"/>
    <col min="1796" max="1796" width="7.75" style="16" customWidth="1"/>
    <col min="1797" max="1797" width="4.375" style="16" customWidth="1"/>
    <col min="1798" max="1798" width="10.125" style="16" customWidth="1"/>
    <col min="1799" max="1799" width="12" style="16" customWidth="1"/>
    <col min="1800" max="1800" width="2.375" style="16" customWidth="1"/>
    <col min="1801" max="1801" width="9.125" style="16" customWidth="1"/>
    <col min="1802" max="1802" width="9.625" style="16" customWidth="1"/>
    <col min="1803" max="1803" width="3.625" style="16" customWidth="1"/>
    <col min="1804" max="1804" width="10.625" style="16" customWidth="1"/>
    <col min="1805" max="1805" width="9.125" style="16" customWidth="1"/>
    <col min="1806" max="1806" width="4" style="16" customWidth="1"/>
    <col min="1807" max="1807" width="9.875" style="16" customWidth="1"/>
    <col min="1808" max="1808" width="9.375" style="16" customWidth="1"/>
    <col min="1809" max="1809" width="7.625" style="16" customWidth="1"/>
    <col min="1810" max="1811" width="7.375" style="16" customWidth="1"/>
    <col min="1812" max="1812" width="8.375" style="16" customWidth="1"/>
    <col min="1813" max="1813" width="2.625" style="16" customWidth="1"/>
    <col min="1814" max="1826" width="7.625" style="16" customWidth="1"/>
    <col min="1827" max="1827" width="3.625" style="16" customWidth="1"/>
    <col min="1828" max="1830" width="7.625" style="16" customWidth="1"/>
    <col min="1831" max="1831" width="1.625" style="16" customWidth="1"/>
    <col min="1832" max="1848" width="7.625" style="16" customWidth="1"/>
    <col min="1849" max="2048" width="7.625" style="16"/>
    <col min="2049" max="2049" width="19.25" style="16" customWidth="1"/>
    <col min="2050" max="2050" width="13.25" style="16" customWidth="1"/>
    <col min="2051" max="2051" width="4.125" style="16" customWidth="1"/>
    <col min="2052" max="2052" width="7.75" style="16" customWidth="1"/>
    <col min="2053" max="2053" width="4.375" style="16" customWidth="1"/>
    <col min="2054" max="2054" width="10.125" style="16" customWidth="1"/>
    <col min="2055" max="2055" width="12" style="16" customWidth="1"/>
    <col min="2056" max="2056" width="2.375" style="16" customWidth="1"/>
    <col min="2057" max="2057" width="9.125" style="16" customWidth="1"/>
    <col min="2058" max="2058" width="9.625" style="16" customWidth="1"/>
    <col min="2059" max="2059" width="3.625" style="16" customWidth="1"/>
    <col min="2060" max="2060" width="10.625" style="16" customWidth="1"/>
    <col min="2061" max="2061" width="9.125" style="16" customWidth="1"/>
    <col min="2062" max="2062" width="4" style="16" customWidth="1"/>
    <col min="2063" max="2063" width="9.875" style="16" customWidth="1"/>
    <col min="2064" max="2064" width="9.375" style="16" customWidth="1"/>
    <col min="2065" max="2065" width="7.625" style="16" customWidth="1"/>
    <col min="2066" max="2067" width="7.375" style="16" customWidth="1"/>
    <col min="2068" max="2068" width="8.375" style="16" customWidth="1"/>
    <col min="2069" max="2069" width="2.625" style="16" customWidth="1"/>
    <col min="2070" max="2082" width="7.625" style="16" customWidth="1"/>
    <col min="2083" max="2083" width="3.625" style="16" customWidth="1"/>
    <col min="2084" max="2086" width="7.625" style="16" customWidth="1"/>
    <col min="2087" max="2087" width="1.625" style="16" customWidth="1"/>
    <col min="2088" max="2104" width="7.625" style="16" customWidth="1"/>
    <col min="2105" max="2304" width="7.625" style="16"/>
    <col min="2305" max="2305" width="19.25" style="16" customWidth="1"/>
    <col min="2306" max="2306" width="13.25" style="16" customWidth="1"/>
    <col min="2307" max="2307" width="4.125" style="16" customWidth="1"/>
    <col min="2308" max="2308" width="7.75" style="16" customWidth="1"/>
    <col min="2309" max="2309" width="4.375" style="16" customWidth="1"/>
    <col min="2310" max="2310" width="10.125" style="16" customWidth="1"/>
    <col min="2311" max="2311" width="12" style="16" customWidth="1"/>
    <col min="2312" max="2312" width="2.375" style="16" customWidth="1"/>
    <col min="2313" max="2313" width="9.125" style="16" customWidth="1"/>
    <col min="2314" max="2314" width="9.625" style="16" customWidth="1"/>
    <col min="2315" max="2315" width="3.625" style="16" customWidth="1"/>
    <col min="2316" max="2316" width="10.625" style="16" customWidth="1"/>
    <col min="2317" max="2317" width="9.125" style="16" customWidth="1"/>
    <col min="2318" max="2318" width="4" style="16" customWidth="1"/>
    <col min="2319" max="2319" width="9.875" style="16" customWidth="1"/>
    <col min="2320" max="2320" width="9.375" style="16" customWidth="1"/>
    <col min="2321" max="2321" width="7.625" style="16" customWidth="1"/>
    <col min="2322" max="2323" width="7.375" style="16" customWidth="1"/>
    <col min="2324" max="2324" width="8.375" style="16" customWidth="1"/>
    <col min="2325" max="2325" width="2.625" style="16" customWidth="1"/>
    <col min="2326" max="2338" width="7.625" style="16" customWidth="1"/>
    <col min="2339" max="2339" width="3.625" style="16" customWidth="1"/>
    <col min="2340" max="2342" width="7.625" style="16" customWidth="1"/>
    <col min="2343" max="2343" width="1.625" style="16" customWidth="1"/>
    <col min="2344" max="2360" width="7.625" style="16" customWidth="1"/>
    <col min="2361" max="2560" width="7.625" style="16"/>
    <col min="2561" max="2561" width="19.25" style="16" customWidth="1"/>
    <col min="2562" max="2562" width="13.25" style="16" customWidth="1"/>
    <col min="2563" max="2563" width="4.125" style="16" customWidth="1"/>
    <col min="2564" max="2564" width="7.75" style="16" customWidth="1"/>
    <col min="2565" max="2565" width="4.375" style="16" customWidth="1"/>
    <col min="2566" max="2566" width="10.125" style="16" customWidth="1"/>
    <col min="2567" max="2567" width="12" style="16" customWidth="1"/>
    <col min="2568" max="2568" width="2.375" style="16" customWidth="1"/>
    <col min="2569" max="2569" width="9.125" style="16" customWidth="1"/>
    <col min="2570" max="2570" width="9.625" style="16" customWidth="1"/>
    <col min="2571" max="2571" width="3.625" style="16" customWidth="1"/>
    <col min="2572" max="2572" width="10.625" style="16" customWidth="1"/>
    <col min="2573" max="2573" width="9.125" style="16" customWidth="1"/>
    <col min="2574" max="2574" width="4" style="16" customWidth="1"/>
    <col min="2575" max="2575" width="9.875" style="16" customWidth="1"/>
    <col min="2576" max="2576" width="9.375" style="16" customWidth="1"/>
    <col min="2577" max="2577" width="7.625" style="16" customWidth="1"/>
    <col min="2578" max="2579" width="7.375" style="16" customWidth="1"/>
    <col min="2580" max="2580" width="8.375" style="16" customWidth="1"/>
    <col min="2581" max="2581" width="2.625" style="16" customWidth="1"/>
    <col min="2582" max="2594" width="7.625" style="16" customWidth="1"/>
    <col min="2595" max="2595" width="3.625" style="16" customWidth="1"/>
    <col min="2596" max="2598" width="7.625" style="16" customWidth="1"/>
    <col min="2599" max="2599" width="1.625" style="16" customWidth="1"/>
    <col min="2600" max="2616" width="7.625" style="16" customWidth="1"/>
    <col min="2617" max="2816" width="7.625" style="16"/>
    <col min="2817" max="2817" width="19.25" style="16" customWidth="1"/>
    <col min="2818" max="2818" width="13.25" style="16" customWidth="1"/>
    <col min="2819" max="2819" width="4.125" style="16" customWidth="1"/>
    <col min="2820" max="2820" width="7.75" style="16" customWidth="1"/>
    <col min="2821" max="2821" width="4.375" style="16" customWidth="1"/>
    <col min="2822" max="2822" width="10.125" style="16" customWidth="1"/>
    <col min="2823" max="2823" width="12" style="16" customWidth="1"/>
    <col min="2824" max="2824" width="2.375" style="16" customWidth="1"/>
    <col min="2825" max="2825" width="9.125" style="16" customWidth="1"/>
    <col min="2826" max="2826" width="9.625" style="16" customWidth="1"/>
    <col min="2827" max="2827" width="3.625" style="16" customWidth="1"/>
    <col min="2828" max="2828" width="10.625" style="16" customWidth="1"/>
    <col min="2829" max="2829" width="9.125" style="16" customWidth="1"/>
    <col min="2830" max="2830" width="4" style="16" customWidth="1"/>
    <col min="2831" max="2831" width="9.875" style="16" customWidth="1"/>
    <col min="2832" max="2832" width="9.375" style="16" customWidth="1"/>
    <col min="2833" max="2833" width="7.625" style="16" customWidth="1"/>
    <col min="2834" max="2835" width="7.375" style="16" customWidth="1"/>
    <col min="2836" max="2836" width="8.375" style="16" customWidth="1"/>
    <col min="2837" max="2837" width="2.625" style="16" customWidth="1"/>
    <col min="2838" max="2850" width="7.625" style="16" customWidth="1"/>
    <col min="2851" max="2851" width="3.625" style="16" customWidth="1"/>
    <col min="2852" max="2854" width="7.625" style="16" customWidth="1"/>
    <col min="2855" max="2855" width="1.625" style="16" customWidth="1"/>
    <col min="2856" max="2872" width="7.625" style="16" customWidth="1"/>
    <col min="2873" max="3072" width="7.625" style="16"/>
    <col min="3073" max="3073" width="19.25" style="16" customWidth="1"/>
    <col min="3074" max="3074" width="13.25" style="16" customWidth="1"/>
    <col min="3075" max="3075" width="4.125" style="16" customWidth="1"/>
    <col min="3076" max="3076" width="7.75" style="16" customWidth="1"/>
    <col min="3077" max="3077" width="4.375" style="16" customWidth="1"/>
    <col min="3078" max="3078" width="10.125" style="16" customWidth="1"/>
    <col min="3079" max="3079" width="12" style="16" customWidth="1"/>
    <col min="3080" max="3080" width="2.375" style="16" customWidth="1"/>
    <col min="3081" max="3081" width="9.125" style="16" customWidth="1"/>
    <col min="3082" max="3082" width="9.625" style="16" customWidth="1"/>
    <col min="3083" max="3083" width="3.625" style="16" customWidth="1"/>
    <col min="3084" max="3084" width="10.625" style="16" customWidth="1"/>
    <col min="3085" max="3085" width="9.125" style="16" customWidth="1"/>
    <col min="3086" max="3086" width="4" style="16" customWidth="1"/>
    <col min="3087" max="3087" width="9.875" style="16" customWidth="1"/>
    <col min="3088" max="3088" width="9.375" style="16" customWidth="1"/>
    <col min="3089" max="3089" width="7.625" style="16" customWidth="1"/>
    <col min="3090" max="3091" width="7.375" style="16" customWidth="1"/>
    <col min="3092" max="3092" width="8.375" style="16" customWidth="1"/>
    <col min="3093" max="3093" width="2.625" style="16" customWidth="1"/>
    <col min="3094" max="3106" width="7.625" style="16" customWidth="1"/>
    <col min="3107" max="3107" width="3.625" style="16" customWidth="1"/>
    <col min="3108" max="3110" width="7.625" style="16" customWidth="1"/>
    <col min="3111" max="3111" width="1.625" style="16" customWidth="1"/>
    <col min="3112" max="3128" width="7.625" style="16" customWidth="1"/>
    <col min="3129" max="3328" width="7.625" style="16"/>
    <col min="3329" max="3329" width="19.25" style="16" customWidth="1"/>
    <col min="3330" max="3330" width="13.25" style="16" customWidth="1"/>
    <col min="3331" max="3331" width="4.125" style="16" customWidth="1"/>
    <col min="3332" max="3332" width="7.75" style="16" customWidth="1"/>
    <col min="3333" max="3333" width="4.375" style="16" customWidth="1"/>
    <col min="3334" max="3334" width="10.125" style="16" customWidth="1"/>
    <col min="3335" max="3335" width="12" style="16" customWidth="1"/>
    <col min="3336" max="3336" width="2.375" style="16" customWidth="1"/>
    <col min="3337" max="3337" width="9.125" style="16" customWidth="1"/>
    <col min="3338" max="3338" width="9.625" style="16" customWidth="1"/>
    <col min="3339" max="3339" width="3.625" style="16" customWidth="1"/>
    <col min="3340" max="3340" width="10.625" style="16" customWidth="1"/>
    <col min="3341" max="3341" width="9.125" style="16" customWidth="1"/>
    <col min="3342" max="3342" width="4" style="16" customWidth="1"/>
    <col min="3343" max="3343" width="9.875" style="16" customWidth="1"/>
    <col min="3344" max="3344" width="9.375" style="16" customWidth="1"/>
    <col min="3345" max="3345" width="7.625" style="16" customWidth="1"/>
    <col min="3346" max="3347" width="7.375" style="16" customWidth="1"/>
    <col min="3348" max="3348" width="8.375" style="16" customWidth="1"/>
    <col min="3349" max="3349" width="2.625" style="16" customWidth="1"/>
    <col min="3350" max="3362" width="7.625" style="16" customWidth="1"/>
    <col min="3363" max="3363" width="3.625" style="16" customWidth="1"/>
    <col min="3364" max="3366" width="7.625" style="16" customWidth="1"/>
    <col min="3367" max="3367" width="1.625" style="16" customWidth="1"/>
    <col min="3368" max="3384" width="7.625" style="16" customWidth="1"/>
    <col min="3385" max="3584" width="7.625" style="16"/>
    <col min="3585" max="3585" width="19.25" style="16" customWidth="1"/>
    <col min="3586" max="3586" width="13.25" style="16" customWidth="1"/>
    <col min="3587" max="3587" width="4.125" style="16" customWidth="1"/>
    <col min="3588" max="3588" width="7.75" style="16" customWidth="1"/>
    <col min="3589" max="3589" width="4.375" style="16" customWidth="1"/>
    <col min="3590" max="3590" width="10.125" style="16" customWidth="1"/>
    <col min="3591" max="3591" width="12" style="16" customWidth="1"/>
    <col min="3592" max="3592" width="2.375" style="16" customWidth="1"/>
    <col min="3593" max="3593" width="9.125" style="16" customWidth="1"/>
    <col min="3594" max="3594" width="9.625" style="16" customWidth="1"/>
    <col min="3595" max="3595" width="3.625" style="16" customWidth="1"/>
    <col min="3596" max="3596" width="10.625" style="16" customWidth="1"/>
    <col min="3597" max="3597" width="9.125" style="16" customWidth="1"/>
    <col min="3598" max="3598" width="4" style="16" customWidth="1"/>
    <col min="3599" max="3599" width="9.875" style="16" customWidth="1"/>
    <col min="3600" max="3600" width="9.375" style="16" customWidth="1"/>
    <col min="3601" max="3601" width="7.625" style="16" customWidth="1"/>
    <col min="3602" max="3603" width="7.375" style="16" customWidth="1"/>
    <col min="3604" max="3604" width="8.375" style="16" customWidth="1"/>
    <col min="3605" max="3605" width="2.625" style="16" customWidth="1"/>
    <col min="3606" max="3618" width="7.625" style="16" customWidth="1"/>
    <col min="3619" max="3619" width="3.625" style="16" customWidth="1"/>
    <col min="3620" max="3622" width="7.625" style="16" customWidth="1"/>
    <col min="3623" max="3623" width="1.625" style="16" customWidth="1"/>
    <col min="3624" max="3640" width="7.625" style="16" customWidth="1"/>
    <col min="3641" max="3840" width="7.625" style="16"/>
    <col min="3841" max="3841" width="19.25" style="16" customWidth="1"/>
    <col min="3842" max="3842" width="13.25" style="16" customWidth="1"/>
    <col min="3843" max="3843" width="4.125" style="16" customWidth="1"/>
    <col min="3844" max="3844" width="7.75" style="16" customWidth="1"/>
    <col min="3845" max="3845" width="4.375" style="16" customWidth="1"/>
    <col min="3846" max="3846" width="10.125" style="16" customWidth="1"/>
    <col min="3847" max="3847" width="12" style="16" customWidth="1"/>
    <col min="3848" max="3848" width="2.375" style="16" customWidth="1"/>
    <col min="3849" max="3849" width="9.125" style="16" customWidth="1"/>
    <col min="3850" max="3850" width="9.625" style="16" customWidth="1"/>
    <col min="3851" max="3851" width="3.625" style="16" customWidth="1"/>
    <col min="3852" max="3852" width="10.625" style="16" customWidth="1"/>
    <col min="3853" max="3853" width="9.125" style="16" customWidth="1"/>
    <col min="3854" max="3854" width="4" style="16" customWidth="1"/>
    <col min="3855" max="3855" width="9.875" style="16" customWidth="1"/>
    <col min="3856" max="3856" width="9.375" style="16" customWidth="1"/>
    <col min="3857" max="3857" width="7.625" style="16" customWidth="1"/>
    <col min="3858" max="3859" width="7.375" style="16" customWidth="1"/>
    <col min="3860" max="3860" width="8.375" style="16" customWidth="1"/>
    <col min="3861" max="3861" width="2.625" style="16" customWidth="1"/>
    <col min="3862" max="3874" width="7.625" style="16" customWidth="1"/>
    <col min="3875" max="3875" width="3.625" style="16" customWidth="1"/>
    <col min="3876" max="3878" width="7.625" style="16" customWidth="1"/>
    <col min="3879" max="3879" width="1.625" style="16" customWidth="1"/>
    <col min="3880" max="3896" width="7.625" style="16" customWidth="1"/>
    <col min="3897" max="4096" width="7.625" style="16"/>
    <col min="4097" max="4097" width="19.25" style="16" customWidth="1"/>
    <col min="4098" max="4098" width="13.25" style="16" customWidth="1"/>
    <col min="4099" max="4099" width="4.125" style="16" customWidth="1"/>
    <col min="4100" max="4100" width="7.75" style="16" customWidth="1"/>
    <col min="4101" max="4101" width="4.375" style="16" customWidth="1"/>
    <col min="4102" max="4102" width="10.125" style="16" customWidth="1"/>
    <col min="4103" max="4103" width="12" style="16" customWidth="1"/>
    <col min="4104" max="4104" width="2.375" style="16" customWidth="1"/>
    <col min="4105" max="4105" width="9.125" style="16" customWidth="1"/>
    <col min="4106" max="4106" width="9.625" style="16" customWidth="1"/>
    <col min="4107" max="4107" width="3.625" style="16" customWidth="1"/>
    <col min="4108" max="4108" width="10.625" style="16" customWidth="1"/>
    <col min="4109" max="4109" width="9.125" style="16" customWidth="1"/>
    <col min="4110" max="4110" width="4" style="16" customWidth="1"/>
    <col min="4111" max="4111" width="9.875" style="16" customWidth="1"/>
    <col min="4112" max="4112" width="9.375" style="16" customWidth="1"/>
    <col min="4113" max="4113" width="7.625" style="16" customWidth="1"/>
    <col min="4114" max="4115" width="7.375" style="16" customWidth="1"/>
    <col min="4116" max="4116" width="8.375" style="16" customWidth="1"/>
    <col min="4117" max="4117" width="2.625" style="16" customWidth="1"/>
    <col min="4118" max="4130" width="7.625" style="16" customWidth="1"/>
    <col min="4131" max="4131" width="3.625" style="16" customWidth="1"/>
    <col min="4132" max="4134" width="7.625" style="16" customWidth="1"/>
    <col min="4135" max="4135" width="1.625" style="16" customWidth="1"/>
    <col min="4136" max="4152" width="7.625" style="16" customWidth="1"/>
    <col min="4153" max="4352" width="7.625" style="16"/>
    <col min="4353" max="4353" width="19.25" style="16" customWidth="1"/>
    <col min="4354" max="4354" width="13.25" style="16" customWidth="1"/>
    <col min="4355" max="4355" width="4.125" style="16" customWidth="1"/>
    <col min="4356" max="4356" width="7.75" style="16" customWidth="1"/>
    <col min="4357" max="4357" width="4.375" style="16" customWidth="1"/>
    <col min="4358" max="4358" width="10.125" style="16" customWidth="1"/>
    <col min="4359" max="4359" width="12" style="16" customWidth="1"/>
    <col min="4360" max="4360" width="2.375" style="16" customWidth="1"/>
    <col min="4361" max="4361" width="9.125" style="16" customWidth="1"/>
    <col min="4362" max="4362" width="9.625" style="16" customWidth="1"/>
    <col min="4363" max="4363" width="3.625" style="16" customWidth="1"/>
    <col min="4364" max="4364" width="10.625" style="16" customWidth="1"/>
    <col min="4365" max="4365" width="9.125" style="16" customWidth="1"/>
    <col min="4366" max="4366" width="4" style="16" customWidth="1"/>
    <col min="4367" max="4367" width="9.875" style="16" customWidth="1"/>
    <col min="4368" max="4368" width="9.375" style="16" customWidth="1"/>
    <col min="4369" max="4369" width="7.625" style="16" customWidth="1"/>
    <col min="4370" max="4371" width="7.375" style="16" customWidth="1"/>
    <col min="4372" max="4372" width="8.375" style="16" customWidth="1"/>
    <col min="4373" max="4373" width="2.625" style="16" customWidth="1"/>
    <col min="4374" max="4386" width="7.625" style="16" customWidth="1"/>
    <col min="4387" max="4387" width="3.625" style="16" customWidth="1"/>
    <col min="4388" max="4390" width="7.625" style="16" customWidth="1"/>
    <col min="4391" max="4391" width="1.625" style="16" customWidth="1"/>
    <col min="4392" max="4408" width="7.625" style="16" customWidth="1"/>
    <col min="4409" max="4608" width="7.625" style="16"/>
    <col min="4609" max="4609" width="19.25" style="16" customWidth="1"/>
    <col min="4610" max="4610" width="13.25" style="16" customWidth="1"/>
    <col min="4611" max="4611" width="4.125" style="16" customWidth="1"/>
    <col min="4612" max="4612" width="7.75" style="16" customWidth="1"/>
    <col min="4613" max="4613" width="4.375" style="16" customWidth="1"/>
    <col min="4614" max="4614" width="10.125" style="16" customWidth="1"/>
    <col min="4615" max="4615" width="12" style="16" customWidth="1"/>
    <col min="4616" max="4616" width="2.375" style="16" customWidth="1"/>
    <col min="4617" max="4617" width="9.125" style="16" customWidth="1"/>
    <col min="4618" max="4618" width="9.625" style="16" customWidth="1"/>
    <col min="4619" max="4619" width="3.625" style="16" customWidth="1"/>
    <col min="4620" max="4620" width="10.625" style="16" customWidth="1"/>
    <col min="4621" max="4621" width="9.125" style="16" customWidth="1"/>
    <col min="4622" max="4622" width="4" style="16" customWidth="1"/>
    <col min="4623" max="4623" width="9.875" style="16" customWidth="1"/>
    <col min="4624" max="4624" width="9.375" style="16" customWidth="1"/>
    <col min="4625" max="4625" width="7.625" style="16" customWidth="1"/>
    <col min="4626" max="4627" width="7.375" style="16" customWidth="1"/>
    <col min="4628" max="4628" width="8.375" style="16" customWidth="1"/>
    <col min="4629" max="4629" width="2.625" style="16" customWidth="1"/>
    <col min="4630" max="4642" width="7.625" style="16" customWidth="1"/>
    <col min="4643" max="4643" width="3.625" style="16" customWidth="1"/>
    <col min="4644" max="4646" width="7.625" style="16" customWidth="1"/>
    <col min="4647" max="4647" width="1.625" style="16" customWidth="1"/>
    <col min="4648" max="4664" width="7.625" style="16" customWidth="1"/>
    <col min="4665" max="4864" width="7.625" style="16"/>
    <col min="4865" max="4865" width="19.25" style="16" customWidth="1"/>
    <col min="4866" max="4866" width="13.25" style="16" customWidth="1"/>
    <col min="4867" max="4867" width="4.125" style="16" customWidth="1"/>
    <col min="4868" max="4868" width="7.75" style="16" customWidth="1"/>
    <col min="4869" max="4869" width="4.375" style="16" customWidth="1"/>
    <col min="4870" max="4870" width="10.125" style="16" customWidth="1"/>
    <col min="4871" max="4871" width="12" style="16" customWidth="1"/>
    <col min="4872" max="4872" width="2.375" style="16" customWidth="1"/>
    <col min="4873" max="4873" width="9.125" style="16" customWidth="1"/>
    <col min="4874" max="4874" width="9.625" style="16" customWidth="1"/>
    <col min="4875" max="4875" width="3.625" style="16" customWidth="1"/>
    <col min="4876" max="4876" width="10.625" style="16" customWidth="1"/>
    <col min="4877" max="4877" width="9.125" style="16" customWidth="1"/>
    <col min="4878" max="4878" width="4" style="16" customWidth="1"/>
    <col min="4879" max="4879" width="9.875" style="16" customWidth="1"/>
    <col min="4880" max="4880" width="9.375" style="16" customWidth="1"/>
    <col min="4881" max="4881" width="7.625" style="16" customWidth="1"/>
    <col min="4882" max="4883" width="7.375" style="16" customWidth="1"/>
    <col min="4884" max="4884" width="8.375" style="16" customWidth="1"/>
    <col min="4885" max="4885" width="2.625" style="16" customWidth="1"/>
    <col min="4886" max="4898" width="7.625" style="16" customWidth="1"/>
    <col min="4899" max="4899" width="3.625" style="16" customWidth="1"/>
    <col min="4900" max="4902" width="7.625" style="16" customWidth="1"/>
    <col min="4903" max="4903" width="1.625" style="16" customWidth="1"/>
    <col min="4904" max="4920" width="7.625" style="16" customWidth="1"/>
    <col min="4921" max="5120" width="7.625" style="16"/>
    <col min="5121" max="5121" width="19.25" style="16" customWidth="1"/>
    <col min="5122" max="5122" width="13.25" style="16" customWidth="1"/>
    <col min="5123" max="5123" width="4.125" style="16" customWidth="1"/>
    <col min="5124" max="5124" width="7.75" style="16" customWidth="1"/>
    <col min="5125" max="5125" width="4.375" style="16" customWidth="1"/>
    <col min="5126" max="5126" width="10.125" style="16" customWidth="1"/>
    <col min="5127" max="5127" width="12" style="16" customWidth="1"/>
    <col min="5128" max="5128" width="2.375" style="16" customWidth="1"/>
    <col min="5129" max="5129" width="9.125" style="16" customWidth="1"/>
    <col min="5130" max="5130" width="9.625" style="16" customWidth="1"/>
    <col min="5131" max="5131" width="3.625" style="16" customWidth="1"/>
    <col min="5132" max="5132" width="10.625" style="16" customWidth="1"/>
    <col min="5133" max="5133" width="9.125" style="16" customWidth="1"/>
    <col min="5134" max="5134" width="4" style="16" customWidth="1"/>
    <col min="5135" max="5135" width="9.875" style="16" customWidth="1"/>
    <col min="5136" max="5136" width="9.375" style="16" customWidth="1"/>
    <col min="5137" max="5137" width="7.625" style="16" customWidth="1"/>
    <col min="5138" max="5139" width="7.375" style="16" customWidth="1"/>
    <col min="5140" max="5140" width="8.375" style="16" customWidth="1"/>
    <col min="5141" max="5141" width="2.625" style="16" customWidth="1"/>
    <col min="5142" max="5154" width="7.625" style="16" customWidth="1"/>
    <col min="5155" max="5155" width="3.625" style="16" customWidth="1"/>
    <col min="5156" max="5158" width="7.625" style="16" customWidth="1"/>
    <col min="5159" max="5159" width="1.625" style="16" customWidth="1"/>
    <col min="5160" max="5176" width="7.625" style="16" customWidth="1"/>
    <col min="5177" max="5376" width="7.625" style="16"/>
    <col min="5377" max="5377" width="19.25" style="16" customWidth="1"/>
    <col min="5378" max="5378" width="13.25" style="16" customWidth="1"/>
    <col min="5379" max="5379" width="4.125" style="16" customWidth="1"/>
    <col min="5380" max="5380" width="7.75" style="16" customWidth="1"/>
    <col min="5381" max="5381" width="4.375" style="16" customWidth="1"/>
    <col min="5382" max="5382" width="10.125" style="16" customWidth="1"/>
    <col min="5383" max="5383" width="12" style="16" customWidth="1"/>
    <col min="5384" max="5384" width="2.375" style="16" customWidth="1"/>
    <col min="5385" max="5385" width="9.125" style="16" customWidth="1"/>
    <col min="5386" max="5386" width="9.625" style="16" customWidth="1"/>
    <col min="5387" max="5387" width="3.625" style="16" customWidth="1"/>
    <col min="5388" max="5388" width="10.625" style="16" customWidth="1"/>
    <col min="5389" max="5389" width="9.125" style="16" customWidth="1"/>
    <col min="5390" max="5390" width="4" style="16" customWidth="1"/>
    <col min="5391" max="5391" width="9.875" style="16" customWidth="1"/>
    <col min="5392" max="5392" width="9.375" style="16" customWidth="1"/>
    <col min="5393" max="5393" width="7.625" style="16" customWidth="1"/>
    <col min="5394" max="5395" width="7.375" style="16" customWidth="1"/>
    <col min="5396" max="5396" width="8.375" style="16" customWidth="1"/>
    <col min="5397" max="5397" width="2.625" style="16" customWidth="1"/>
    <col min="5398" max="5410" width="7.625" style="16" customWidth="1"/>
    <col min="5411" max="5411" width="3.625" style="16" customWidth="1"/>
    <col min="5412" max="5414" width="7.625" style="16" customWidth="1"/>
    <col min="5415" max="5415" width="1.625" style="16" customWidth="1"/>
    <col min="5416" max="5432" width="7.625" style="16" customWidth="1"/>
    <col min="5433" max="5632" width="7.625" style="16"/>
    <col min="5633" max="5633" width="19.25" style="16" customWidth="1"/>
    <col min="5634" max="5634" width="13.25" style="16" customWidth="1"/>
    <col min="5635" max="5635" width="4.125" style="16" customWidth="1"/>
    <col min="5636" max="5636" width="7.75" style="16" customWidth="1"/>
    <col min="5637" max="5637" width="4.375" style="16" customWidth="1"/>
    <col min="5638" max="5638" width="10.125" style="16" customWidth="1"/>
    <col min="5639" max="5639" width="12" style="16" customWidth="1"/>
    <col min="5640" max="5640" width="2.375" style="16" customWidth="1"/>
    <col min="5641" max="5641" width="9.125" style="16" customWidth="1"/>
    <col min="5642" max="5642" width="9.625" style="16" customWidth="1"/>
    <col min="5643" max="5643" width="3.625" style="16" customWidth="1"/>
    <col min="5644" max="5644" width="10.625" style="16" customWidth="1"/>
    <col min="5645" max="5645" width="9.125" style="16" customWidth="1"/>
    <col min="5646" max="5646" width="4" style="16" customWidth="1"/>
    <col min="5647" max="5647" width="9.875" style="16" customWidth="1"/>
    <col min="5648" max="5648" width="9.375" style="16" customWidth="1"/>
    <col min="5649" max="5649" width="7.625" style="16" customWidth="1"/>
    <col min="5650" max="5651" width="7.375" style="16" customWidth="1"/>
    <col min="5652" max="5652" width="8.375" style="16" customWidth="1"/>
    <col min="5653" max="5653" width="2.625" style="16" customWidth="1"/>
    <col min="5654" max="5666" width="7.625" style="16" customWidth="1"/>
    <col min="5667" max="5667" width="3.625" style="16" customWidth="1"/>
    <col min="5668" max="5670" width="7.625" style="16" customWidth="1"/>
    <col min="5671" max="5671" width="1.625" style="16" customWidth="1"/>
    <col min="5672" max="5688" width="7.625" style="16" customWidth="1"/>
    <col min="5689" max="5888" width="7.625" style="16"/>
    <col min="5889" max="5889" width="19.25" style="16" customWidth="1"/>
    <col min="5890" max="5890" width="13.25" style="16" customWidth="1"/>
    <col min="5891" max="5891" width="4.125" style="16" customWidth="1"/>
    <col min="5892" max="5892" width="7.75" style="16" customWidth="1"/>
    <col min="5893" max="5893" width="4.375" style="16" customWidth="1"/>
    <col min="5894" max="5894" width="10.125" style="16" customWidth="1"/>
    <col min="5895" max="5895" width="12" style="16" customWidth="1"/>
    <col min="5896" max="5896" width="2.375" style="16" customWidth="1"/>
    <col min="5897" max="5897" width="9.125" style="16" customWidth="1"/>
    <col min="5898" max="5898" width="9.625" style="16" customWidth="1"/>
    <col min="5899" max="5899" width="3.625" style="16" customWidth="1"/>
    <col min="5900" max="5900" width="10.625" style="16" customWidth="1"/>
    <col min="5901" max="5901" width="9.125" style="16" customWidth="1"/>
    <col min="5902" max="5902" width="4" style="16" customWidth="1"/>
    <col min="5903" max="5903" width="9.875" style="16" customWidth="1"/>
    <col min="5904" max="5904" width="9.375" style="16" customWidth="1"/>
    <col min="5905" max="5905" width="7.625" style="16" customWidth="1"/>
    <col min="5906" max="5907" width="7.375" style="16" customWidth="1"/>
    <col min="5908" max="5908" width="8.375" style="16" customWidth="1"/>
    <col min="5909" max="5909" width="2.625" style="16" customWidth="1"/>
    <col min="5910" max="5922" width="7.625" style="16" customWidth="1"/>
    <col min="5923" max="5923" width="3.625" style="16" customWidth="1"/>
    <col min="5924" max="5926" width="7.625" style="16" customWidth="1"/>
    <col min="5927" max="5927" width="1.625" style="16" customWidth="1"/>
    <col min="5928" max="5944" width="7.625" style="16" customWidth="1"/>
    <col min="5945" max="6144" width="7.625" style="16"/>
    <col min="6145" max="6145" width="19.25" style="16" customWidth="1"/>
    <col min="6146" max="6146" width="13.25" style="16" customWidth="1"/>
    <col min="6147" max="6147" width="4.125" style="16" customWidth="1"/>
    <col min="6148" max="6148" width="7.75" style="16" customWidth="1"/>
    <col min="6149" max="6149" width="4.375" style="16" customWidth="1"/>
    <col min="6150" max="6150" width="10.125" style="16" customWidth="1"/>
    <col min="6151" max="6151" width="12" style="16" customWidth="1"/>
    <col min="6152" max="6152" width="2.375" style="16" customWidth="1"/>
    <col min="6153" max="6153" width="9.125" style="16" customWidth="1"/>
    <col min="6154" max="6154" width="9.625" style="16" customWidth="1"/>
    <col min="6155" max="6155" width="3.625" style="16" customWidth="1"/>
    <col min="6156" max="6156" width="10.625" style="16" customWidth="1"/>
    <col min="6157" max="6157" width="9.125" style="16" customWidth="1"/>
    <col min="6158" max="6158" width="4" style="16" customWidth="1"/>
    <col min="6159" max="6159" width="9.875" style="16" customWidth="1"/>
    <col min="6160" max="6160" width="9.375" style="16" customWidth="1"/>
    <col min="6161" max="6161" width="7.625" style="16" customWidth="1"/>
    <col min="6162" max="6163" width="7.375" style="16" customWidth="1"/>
    <col min="6164" max="6164" width="8.375" style="16" customWidth="1"/>
    <col min="6165" max="6165" width="2.625" style="16" customWidth="1"/>
    <col min="6166" max="6178" width="7.625" style="16" customWidth="1"/>
    <col min="6179" max="6179" width="3.625" style="16" customWidth="1"/>
    <col min="6180" max="6182" width="7.625" style="16" customWidth="1"/>
    <col min="6183" max="6183" width="1.625" style="16" customWidth="1"/>
    <col min="6184" max="6200" width="7.625" style="16" customWidth="1"/>
    <col min="6201" max="6400" width="7.625" style="16"/>
    <col min="6401" max="6401" width="19.25" style="16" customWidth="1"/>
    <col min="6402" max="6402" width="13.25" style="16" customWidth="1"/>
    <col min="6403" max="6403" width="4.125" style="16" customWidth="1"/>
    <col min="6404" max="6404" width="7.75" style="16" customWidth="1"/>
    <col min="6405" max="6405" width="4.375" style="16" customWidth="1"/>
    <col min="6406" max="6406" width="10.125" style="16" customWidth="1"/>
    <col min="6407" max="6407" width="12" style="16" customWidth="1"/>
    <col min="6408" max="6408" width="2.375" style="16" customWidth="1"/>
    <col min="6409" max="6409" width="9.125" style="16" customWidth="1"/>
    <col min="6410" max="6410" width="9.625" style="16" customWidth="1"/>
    <col min="6411" max="6411" width="3.625" style="16" customWidth="1"/>
    <col min="6412" max="6412" width="10.625" style="16" customWidth="1"/>
    <col min="6413" max="6413" width="9.125" style="16" customWidth="1"/>
    <col min="6414" max="6414" width="4" style="16" customWidth="1"/>
    <col min="6415" max="6415" width="9.875" style="16" customWidth="1"/>
    <col min="6416" max="6416" width="9.375" style="16" customWidth="1"/>
    <col min="6417" max="6417" width="7.625" style="16" customWidth="1"/>
    <col min="6418" max="6419" width="7.375" style="16" customWidth="1"/>
    <col min="6420" max="6420" width="8.375" style="16" customWidth="1"/>
    <col min="6421" max="6421" width="2.625" style="16" customWidth="1"/>
    <col min="6422" max="6434" width="7.625" style="16" customWidth="1"/>
    <col min="6435" max="6435" width="3.625" style="16" customWidth="1"/>
    <col min="6436" max="6438" width="7.625" style="16" customWidth="1"/>
    <col min="6439" max="6439" width="1.625" style="16" customWidth="1"/>
    <col min="6440" max="6456" width="7.625" style="16" customWidth="1"/>
    <col min="6457" max="6656" width="7.625" style="16"/>
    <col min="6657" max="6657" width="19.25" style="16" customWidth="1"/>
    <col min="6658" max="6658" width="13.25" style="16" customWidth="1"/>
    <col min="6659" max="6659" width="4.125" style="16" customWidth="1"/>
    <col min="6660" max="6660" width="7.75" style="16" customWidth="1"/>
    <col min="6661" max="6661" width="4.375" style="16" customWidth="1"/>
    <col min="6662" max="6662" width="10.125" style="16" customWidth="1"/>
    <col min="6663" max="6663" width="12" style="16" customWidth="1"/>
    <col min="6664" max="6664" width="2.375" style="16" customWidth="1"/>
    <col min="6665" max="6665" width="9.125" style="16" customWidth="1"/>
    <col min="6666" max="6666" width="9.625" style="16" customWidth="1"/>
    <col min="6667" max="6667" width="3.625" style="16" customWidth="1"/>
    <col min="6668" max="6668" width="10.625" style="16" customWidth="1"/>
    <col min="6669" max="6669" width="9.125" style="16" customWidth="1"/>
    <col min="6670" max="6670" width="4" style="16" customWidth="1"/>
    <col min="6671" max="6671" width="9.875" style="16" customWidth="1"/>
    <col min="6672" max="6672" width="9.375" style="16" customWidth="1"/>
    <col min="6673" max="6673" width="7.625" style="16" customWidth="1"/>
    <col min="6674" max="6675" width="7.375" style="16" customWidth="1"/>
    <col min="6676" max="6676" width="8.375" style="16" customWidth="1"/>
    <col min="6677" max="6677" width="2.625" style="16" customWidth="1"/>
    <col min="6678" max="6690" width="7.625" style="16" customWidth="1"/>
    <col min="6691" max="6691" width="3.625" style="16" customWidth="1"/>
    <col min="6692" max="6694" width="7.625" style="16" customWidth="1"/>
    <col min="6695" max="6695" width="1.625" style="16" customWidth="1"/>
    <col min="6696" max="6712" width="7.625" style="16" customWidth="1"/>
    <col min="6713" max="6912" width="7.625" style="16"/>
    <col min="6913" max="6913" width="19.25" style="16" customWidth="1"/>
    <col min="6914" max="6914" width="13.25" style="16" customWidth="1"/>
    <col min="6915" max="6915" width="4.125" style="16" customWidth="1"/>
    <col min="6916" max="6916" width="7.75" style="16" customWidth="1"/>
    <col min="6917" max="6917" width="4.375" style="16" customWidth="1"/>
    <col min="6918" max="6918" width="10.125" style="16" customWidth="1"/>
    <col min="6919" max="6919" width="12" style="16" customWidth="1"/>
    <col min="6920" max="6920" width="2.375" style="16" customWidth="1"/>
    <col min="6921" max="6921" width="9.125" style="16" customWidth="1"/>
    <col min="6922" max="6922" width="9.625" style="16" customWidth="1"/>
    <col min="6923" max="6923" width="3.625" style="16" customWidth="1"/>
    <col min="6924" max="6924" width="10.625" style="16" customWidth="1"/>
    <col min="6925" max="6925" width="9.125" style="16" customWidth="1"/>
    <col min="6926" max="6926" width="4" style="16" customWidth="1"/>
    <col min="6927" max="6927" width="9.875" style="16" customWidth="1"/>
    <col min="6928" max="6928" width="9.375" style="16" customWidth="1"/>
    <col min="6929" max="6929" width="7.625" style="16" customWidth="1"/>
    <col min="6930" max="6931" width="7.375" style="16" customWidth="1"/>
    <col min="6932" max="6932" width="8.375" style="16" customWidth="1"/>
    <col min="6933" max="6933" width="2.625" style="16" customWidth="1"/>
    <col min="6934" max="6946" width="7.625" style="16" customWidth="1"/>
    <col min="6947" max="6947" width="3.625" style="16" customWidth="1"/>
    <col min="6948" max="6950" width="7.625" style="16" customWidth="1"/>
    <col min="6951" max="6951" width="1.625" style="16" customWidth="1"/>
    <col min="6952" max="6968" width="7.625" style="16" customWidth="1"/>
    <col min="6969" max="7168" width="7.625" style="16"/>
    <col min="7169" max="7169" width="19.25" style="16" customWidth="1"/>
    <col min="7170" max="7170" width="13.25" style="16" customWidth="1"/>
    <col min="7171" max="7171" width="4.125" style="16" customWidth="1"/>
    <col min="7172" max="7172" width="7.75" style="16" customWidth="1"/>
    <col min="7173" max="7173" width="4.375" style="16" customWidth="1"/>
    <col min="7174" max="7174" width="10.125" style="16" customWidth="1"/>
    <col min="7175" max="7175" width="12" style="16" customWidth="1"/>
    <col min="7176" max="7176" width="2.375" style="16" customWidth="1"/>
    <col min="7177" max="7177" width="9.125" style="16" customWidth="1"/>
    <col min="7178" max="7178" width="9.625" style="16" customWidth="1"/>
    <col min="7179" max="7179" width="3.625" style="16" customWidth="1"/>
    <col min="7180" max="7180" width="10.625" style="16" customWidth="1"/>
    <col min="7181" max="7181" width="9.125" style="16" customWidth="1"/>
    <col min="7182" max="7182" width="4" style="16" customWidth="1"/>
    <col min="7183" max="7183" width="9.875" style="16" customWidth="1"/>
    <col min="7184" max="7184" width="9.375" style="16" customWidth="1"/>
    <col min="7185" max="7185" width="7.625" style="16" customWidth="1"/>
    <col min="7186" max="7187" width="7.375" style="16" customWidth="1"/>
    <col min="7188" max="7188" width="8.375" style="16" customWidth="1"/>
    <col min="7189" max="7189" width="2.625" style="16" customWidth="1"/>
    <col min="7190" max="7202" width="7.625" style="16" customWidth="1"/>
    <col min="7203" max="7203" width="3.625" style="16" customWidth="1"/>
    <col min="7204" max="7206" width="7.625" style="16" customWidth="1"/>
    <col min="7207" max="7207" width="1.625" style="16" customWidth="1"/>
    <col min="7208" max="7224" width="7.625" style="16" customWidth="1"/>
    <col min="7225" max="7424" width="7.625" style="16"/>
    <col min="7425" max="7425" width="19.25" style="16" customWidth="1"/>
    <col min="7426" max="7426" width="13.25" style="16" customWidth="1"/>
    <col min="7427" max="7427" width="4.125" style="16" customWidth="1"/>
    <col min="7428" max="7428" width="7.75" style="16" customWidth="1"/>
    <col min="7429" max="7429" width="4.375" style="16" customWidth="1"/>
    <col min="7430" max="7430" width="10.125" style="16" customWidth="1"/>
    <col min="7431" max="7431" width="12" style="16" customWidth="1"/>
    <col min="7432" max="7432" width="2.375" style="16" customWidth="1"/>
    <col min="7433" max="7433" width="9.125" style="16" customWidth="1"/>
    <col min="7434" max="7434" width="9.625" style="16" customWidth="1"/>
    <col min="7435" max="7435" width="3.625" style="16" customWidth="1"/>
    <col min="7436" max="7436" width="10.625" style="16" customWidth="1"/>
    <col min="7437" max="7437" width="9.125" style="16" customWidth="1"/>
    <col min="7438" max="7438" width="4" style="16" customWidth="1"/>
    <col min="7439" max="7439" width="9.875" style="16" customWidth="1"/>
    <col min="7440" max="7440" width="9.375" style="16" customWidth="1"/>
    <col min="7441" max="7441" width="7.625" style="16" customWidth="1"/>
    <col min="7442" max="7443" width="7.375" style="16" customWidth="1"/>
    <col min="7444" max="7444" width="8.375" style="16" customWidth="1"/>
    <col min="7445" max="7445" width="2.625" style="16" customWidth="1"/>
    <col min="7446" max="7458" width="7.625" style="16" customWidth="1"/>
    <col min="7459" max="7459" width="3.625" style="16" customWidth="1"/>
    <col min="7460" max="7462" width="7.625" style="16" customWidth="1"/>
    <col min="7463" max="7463" width="1.625" style="16" customWidth="1"/>
    <col min="7464" max="7480" width="7.625" style="16" customWidth="1"/>
    <col min="7481" max="7680" width="7.625" style="16"/>
    <col min="7681" max="7681" width="19.25" style="16" customWidth="1"/>
    <col min="7682" max="7682" width="13.25" style="16" customWidth="1"/>
    <col min="7683" max="7683" width="4.125" style="16" customWidth="1"/>
    <col min="7684" max="7684" width="7.75" style="16" customWidth="1"/>
    <col min="7685" max="7685" width="4.375" style="16" customWidth="1"/>
    <col min="7686" max="7686" width="10.125" style="16" customWidth="1"/>
    <col min="7687" max="7687" width="12" style="16" customWidth="1"/>
    <col min="7688" max="7688" width="2.375" style="16" customWidth="1"/>
    <col min="7689" max="7689" width="9.125" style="16" customWidth="1"/>
    <col min="7690" max="7690" width="9.625" style="16" customWidth="1"/>
    <col min="7691" max="7691" width="3.625" style="16" customWidth="1"/>
    <col min="7692" max="7692" width="10.625" style="16" customWidth="1"/>
    <col min="7693" max="7693" width="9.125" style="16" customWidth="1"/>
    <col min="7694" max="7694" width="4" style="16" customWidth="1"/>
    <col min="7695" max="7695" width="9.875" style="16" customWidth="1"/>
    <col min="7696" max="7696" width="9.375" style="16" customWidth="1"/>
    <col min="7697" max="7697" width="7.625" style="16" customWidth="1"/>
    <col min="7698" max="7699" width="7.375" style="16" customWidth="1"/>
    <col min="7700" max="7700" width="8.375" style="16" customWidth="1"/>
    <col min="7701" max="7701" width="2.625" style="16" customWidth="1"/>
    <col min="7702" max="7714" width="7.625" style="16" customWidth="1"/>
    <col min="7715" max="7715" width="3.625" style="16" customWidth="1"/>
    <col min="7716" max="7718" width="7.625" style="16" customWidth="1"/>
    <col min="7719" max="7719" width="1.625" style="16" customWidth="1"/>
    <col min="7720" max="7736" width="7.625" style="16" customWidth="1"/>
    <col min="7737" max="7936" width="7.625" style="16"/>
    <col min="7937" max="7937" width="19.25" style="16" customWidth="1"/>
    <col min="7938" max="7938" width="13.25" style="16" customWidth="1"/>
    <col min="7939" max="7939" width="4.125" style="16" customWidth="1"/>
    <col min="7940" max="7940" width="7.75" style="16" customWidth="1"/>
    <col min="7941" max="7941" width="4.375" style="16" customWidth="1"/>
    <col min="7942" max="7942" width="10.125" style="16" customWidth="1"/>
    <col min="7943" max="7943" width="12" style="16" customWidth="1"/>
    <col min="7944" max="7944" width="2.375" style="16" customWidth="1"/>
    <col min="7945" max="7945" width="9.125" style="16" customWidth="1"/>
    <col min="7946" max="7946" width="9.625" style="16" customWidth="1"/>
    <col min="7947" max="7947" width="3.625" style="16" customWidth="1"/>
    <col min="7948" max="7948" width="10.625" style="16" customWidth="1"/>
    <col min="7949" max="7949" width="9.125" style="16" customWidth="1"/>
    <col min="7950" max="7950" width="4" style="16" customWidth="1"/>
    <col min="7951" max="7951" width="9.875" style="16" customWidth="1"/>
    <col min="7952" max="7952" width="9.375" style="16" customWidth="1"/>
    <col min="7953" max="7953" width="7.625" style="16" customWidth="1"/>
    <col min="7954" max="7955" width="7.375" style="16" customWidth="1"/>
    <col min="7956" max="7956" width="8.375" style="16" customWidth="1"/>
    <col min="7957" max="7957" width="2.625" style="16" customWidth="1"/>
    <col min="7958" max="7970" width="7.625" style="16" customWidth="1"/>
    <col min="7971" max="7971" width="3.625" style="16" customWidth="1"/>
    <col min="7972" max="7974" width="7.625" style="16" customWidth="1"/>
    <col min="7975" max="7975" width="1.625" style="16" customWidth="1"/>
    <col min="7976" max="7992" width="7.625" style="16" customWidth="1"/>
    <col min="7993" max="8192" width="7.625" style="16"/>
    <col min="8193" max="8193" width="19.25" style="16" customWidth="1"/>
    <col min="8194" max="8194" width="13.25" style="16" customWidth="1"/>
    <col min="8195" max="8195" width="4.125" style="16" customWidth="1"/>
    <col min="8196" max="8196" width="7.75" style="16" customWidth="1"/>
    <col min="8197" max="8197" width="4.375" style="16" customWidth="1"/>
    <col min="8198" max="8198" width="10.125" style="16" customWidth="1"/>
    <col min="8199" max="8199" width="12" style="16" customWidth="1"/>
    <col min="8200" max="8200" width="2.375" style="16" customWidth="1"/>
    <col min="8201" max="8201" width="9.125" style="16" customWidth="1"/>
    <col min="8202" max="8202" width="9.625" style="16" customWidth="1"/>
    <col min="8203" max="8203" width="3.625" style="16" customWidth="1"/>
    <col min="8204" max="8204" width="10.625" style="16" customWidth="1"/>
    <col min="8205" max="8205" width="9.125" style="16" customWidth="1"/>
    <col min="8206" max="8206" width="4" style="16" customWidth="1"/>
    <col min="8207" max="8207" width="9.875" style="16" customWidth="1"/>
    <col min="8208" max="8208" width="9.375" style="16" customWidth="1"/>
    <col min="8209" max="8209" width="7.625" style="16" customWidth="1"/>
    <col min="8210" max="8211" width="7.375" style="16" customWidth="1"/>
    <col min="8212" max="8212" width="8.375" style="16" customWidth="1"/>
    <col min="8213" max="8213" width="2.625" style="16" customWidth="1"/>
    <col min="8214" max="8226" width="7.625" style="16" customWidth="1"/>
    <col min="8227" max="8227" width="3.625" style="16" customWidth="1"/>
    <col min="8228" max="8230" width="7.625" style="16" customWidth="1"/>
    <col min="8231" max="8231" width="1.625" style="16" customWidth="1"/>
    <col min="8232" max="8248" width="7.625" style="16" customWidth="1"/>
    <col min="8249" max="8448" width="7.625" style="16"/>
    <col min="8449" max="8449" width="19.25" style="16" customWidth="1"/>
    <col min="8450" max="8450" width="13.25" style="16" customWidth="1"/>
    <col min="8451" max="8451" width="4.125" style="16" customWidth="1"/>
    <col min="8452" max="8452" width="7.75" style="16" customWidth="1"/>
    <col min="8453" max="8453" width="4.375" style="16" customWidth="1"/>
    <col min="8454" max="8454" width="10.125" style="16" customWidth="1"/>
    <col min="8455" max="8455" width="12" style="16" customWidth="1"/>
    <col min="8456" max="8456" width="2.375" style="16" customWidth="1"/>
    <col min="8457" max="8457" width="9.125" style="16" customWidth="1"/>
    <col min="8458" max="8458" width="9.625" style="16" customWidth="1"/>
    <col min="8459" max="8459" width="3.625" style="16" customWidth="1"/>
    <col min="8460" max="8460" width="10.625" style="16" customWidth="1"/>
    <col min="8461" max="8461" width="9.125" style="16" customWidth="1"/>
    <col min="8462" max="8462" width="4" style="16" customWidth="1"/>
    <col min="8463" max="8463" width="9.875" style="16" customWidth="1"/>
    <col min="8464" max="8464" width="9.375" style="16" customWidth="1"/>
    <col min="8465" max="8465" width="7.625" style="16" customWidth="1"/>
    <col min="8466" max="8467" width="7.375" style="16" customWidth="1"/>
    <col min="8468" max="8468" width="8.375" style="16" customWidth="1"/>
    <col min="8469" max="8469" width="2.625" style="16" customWidth="1"/>
    <col min="8470" max="8482" width="7.625" style="16" customWidth="1"/>
    <col min="8483" max="8483" width="3.625" style="16" customWidth="1"/>
    <col min="8484" max="8486" width="7.625" style="16" customWidth="1"/>
    <col min="8487" max="8487" width="1.625" style="16" customWidth="1"/>
    <col min="8488" max="8504" width="7.625" style="16" customWidth="1"/>
    <col min="8505" max="8704" width="7.625" style="16"/>
    <col min="8705" max="8705" width="19.25" style="16" customWidth="1"/>
    <col min="8706" max="8706" width="13.25" style="16" customWidth="1"/>
    <col min="8707" max="8707" width="4.125" style="16" customWidth="1"/>
    <col min="8708" max="8708" width="7.75" style="16" customWidth="1"/>
    <col min="8709" max="8709" width="4.375" style="16" customWidth="1"/>
    <col min="8710" max="8710" width="10.125" style="16" customWidth="1"/>
    <col min="8711" max="8711" width="12" style="16" customWidth="1"/>
    <col min="8712" max="8712" width="2.375" style="16" customWidth="1"/>
    <col min="8713" max="8713" width="9.125" style="16" customWidth="1"/>
    <col min="8714" max="8714" width="9.625" style="16" customWidth="1"/>
    <col min="8715" max="8715" width="3.625" style="16" customWidth="1"/>
    <col min="8716" max="8716" width="10.625" style="16" customWidth="1"/>
    <col min="8717" max="8717" width="9.125" style="16" customWidth="1"/>
    <col min="8718" max="8718" width="4" style="16" customWidth="1"/>
    <col min="8719" max="8719" width="9.875" style="16" customWidth="1"/>
    <col min="8720" max="8720" width="9.375" style="16" customWidth="1"/>
    <col min="8721" max="8721" width="7.625" style="16" customWidth="1"/>
    <col min="8722" max="8723" width="7.375" style="16" customWidth="1"/>
    <col min="8724" max="8724" width="8.375" style="16" customWidth="1"/>
    <col min="8725" max="8725" width="2.625" style="16" customWidth="1"/>
    <col min="8726" max="8738" width="7.625" style="16" customWidth="1"/>
    <col min="8739" max="8739" width="3.625" style="16" customWidth="1"/>
    <col min="8740" max="8742" width="7.625" style="16" customWidth="1"/>
    <col min="8743" max="8743" width="1.625" style="16" customWidth="1"/>
    <col min="8744" max="8760" width="7.625" style="16" customWidth="1"/>
    <col min="8761" max="8960" width="7.625" style="16"/>
    <col min="8961" max="8961" width="19.25" style="16" customWidth="1"/>
    <col min="8962" max="8962" width="13.25" style="16" customWidth="1"/>
    <col min="8963" max="8963" width="4.125" style="16" customWidth="1"/>
    <col min="8964" max="8964" width="7.75" style="16" customWidth="1"/>
    <col min="8965" max="8965" width="4.375" style="16" customWidth="1"/>
    <col min="8966" max="8966" width="10.125" style="16" customWidth="1"/>
    <col min="8967" max="8967" width="12" style="16" customWidth="1"/>
    <col min="8968" max="8968" width="2.375" style="16" customWidth="1"/>
    <col min="8969" max="8969" width="9.125" style="16" customWidth="1"/>
    <col min="8970" max="8970" width="9.625" style="16" customWidth="1"/>
    <col min="8971" max="8971" width="3.625" style="16" customWidth="1"/>
    <col min="8972" max="8972" width="10.625" style="16" customWidth="1"/>
    <col min="8973" max="8973" width="9.125" style="16" customWidth="1"/>
    <col min="8974" max="8974" width="4" style="16" customWidth="1"/>
    <col min="8975" max="8975" width="9.875" style="16" customWidth="1"/>
    <col min="8976" max="8976" width="9.375" style="16" customWidth="1"/>
    <col min="8977" max="8977" width="7.625" style="16" customWidth="1"/>
    <col min="8978" max="8979" width="7.375" style="16" customWidth="1"/>
    <col min="8980" max="8980" width="8.375" style="16" customWidth="1"/>
    <col min="8981" max="8981" width="2.625" style="16" customWidth="1"/>
    <col min="8982" max="8994" width="7.625" style="16" customWidth="1"/>
    <col min="8995" max="8995" width="3.625" style="16" customWidth="1"/>
    <col min="8996" max="8998" width="7.625" style="16" customWidth="1"/>
    <col min="8999" max="8999" width="1.625" style="16" customWidth="1"/>
    <col min="9000" max="9016" width="7.625" style="16" customWidth="1"/>
    <col min="9017" max="9216" width="7.625" style="16"/>
    <col min="9217" max="9217" width="19.25" style="16" customWidth="1"/>
    <col min="9218" max="9218" width="13.25" style="16" customWidth="1"/>
    <col min="9219" max="9219" width="4.125" style="16" customWidth="1"/>
    <col min="9220" max="9220" width="7.75" style="16" customWidth="1"/>
    <col min="9221" max="9221" width="4.375" style="16" customWidth="1"/>
    <col min="9222" max="9222" width="10.125" style="16" customWidth="1"/>
    <col min="9223" max="9223" width="12" style="16" customWidth="1"/>
    <col min="9224" max="9224" width="2.375" style="16" customWidth="1"/>
    <col min="9225" max="9225" width="9.125" style="16" customWidth="1"/>
    <col min="9226" max="9226" width="9.625" style="16" customWidth="1"/>
    <col min="9227" max="9227" width="3.625" style="16" customWidth="1"/>
    <col min="9228" max="9228" width="10.625" style="16" customWidth="1"/>
    <col min="9229" max="9229" width="9.125" style="16" customWidth="1"/>
    <col min="9230" max="9230" width="4" style="16" customWidth="1"/>
    <col min="9231" max="9231" width="9.875" style="16" customWidth="1"/>
    <col min="9232" max="9232" width="9.375" style="16" customWidth="1"/>
    <col min="9233" max="9233" width="7.625" style="16" customWidth="1"/>
    <col min="9234" max="9235" width="7.375" style="16" customWidth="1"/>
    <col min="9236" max="9236" width="8.375" style="16" customWidth="1"/>
    <col min="9237" max="9237" width="2.625" style="16" customWidth="1"/>
    <col min="9238" max="9250" width="7.625" style="16" customWidth="1"/>
    <col min="9251" max="9251" width="3.625" style="16" customWidth="1"/>
    <col min="9252" max="9254" width="7.625" style="16" customWidth="1"/>
    <col min="9255" max="9255" width="1.625" style="16" customWidth="1"/>
    <col min="9256" max="9272" width="7.625" style="16" customWidth="1"/>
    <col min="9273" max="9472" width="7.625" style="16"/>
    <col min="9473" max="9473" width="19.25" style="16" customWidth="1"/>
    <col min="9474" max="9474" width="13.25" style="16" customWidth="1"/>
    <col min="9475" max="9475" width="4.125" style="16" customWidth="1"/>
    <col min="9476" max="9476" width="7.75" style="16" customWidth="1"/>
    <col min="9477" max="9477" width="4.375" style="16" customWidth="1"/>
    <col min="9478" max="9478" width="10.125" style="16" customWidth="1"/>
    <col min="9479" max="9479" width="12" style="16" customWidth="1"/>
    <col min="9480" max="9480" width="2.375" style="16" customWidth="1"/>
    <col min="9481" max="9481" width="9.125" style="16" customWidth="1"/>
    <col min="9482" max="9482" width="9.625" style="16" customWidth="1"/>
    <col min="9483" max="9483" width="3.625" style="16" customWidth="1"/>
    <col min="9484" max="9484" width="10.625" style="16" customWidth="1"/>
    <col min="9485" max="9485" width="9.125" style="16" customWidth="1"/>
    <col min="9486" max="9486" width="4" style="16" customWidth="1"/>
    <col min="9487" max="9487" width="9.875" style="16" customWidth="1"/>
    <col min="9488" max="9488" width="9.375" style="16" customWidth="1"/>
    <col min="9489" max="9489" width="7.625" style="16" customWidth="1"/>
    <col min="9490" max="9491" width="7.375" style="16" customWidth="1"/>
    <col min="9492" max="9492" width="8.375" style="16" customWidth="1"/>
    <col min="9493" max="9493" width="2.625" style="16" customWidth="1"/>
    <col min="9494" max="9506" width="7.625" style="16" customWidth="1"/>
    <col min="9507" max="9507" width="3.625" style="16" customWidth="1"/>
    <col min="9508" max="9510" width="7.625" style="16" customWidth="1"/>
    <col min="9511" max="9511" width="1.625" style="16" customWidth="1"/>
    <col min="9512" max="9528" width="7.625" style="16" customWidth="1"/>
    <col min="9529" max="9728" width="7.625" style="16"/>
    <col min="9729" max="9729" width="19.25" style="16" customWidth="1"/>
    <col min="9730" max="9730" width="13.25" style="16" customWidth="1"/>
    <col min="9731" max="9731" width="4.125" style="16" customWidth="1"/>
    <col min="9732" max="9732" width="7.75" style="16" customWidth="1"/>
    <col min="9733" max="9733" width="4.375" style="16" customWidth="1"/>
    <col min="9734" max="9734" width="10.125" style="16" customWidth="1"/>
    <col min="9735" max="9735" width="12" style="16" customWidth="1"/>
    <col min="9736" max="9736" width="2.375" style="16" customWidth="1"/>
    <col min="9737" max="9737" width="9.125" style="16" customWidth="1"/>
    <col min="9738" max="9738" width="9.625" style="16" customWidth="1"/>
    <col min="9739" max="9739" width="3.625" style="16" customWidth="1"/>
    <col min="9740" max="9740" width="10.625" style="16" customWidth="1"/>
    <col min="9741" max="9741" width="9.125" style="16" customWidth="1"/>
    <col min="9742" max="9742" width="4" style="16" customWidth="1"/>
    <col min="9743" max="9743" width="9.875" style="16" customWidth="1"/>
    <col min="9744" max="9744" width="9.375" style="16" customWidth="1"/>
    <col min="9745" max="9745" width="7.625" style="16" customWidth="1"/>
    <col min="9746" max="9747" width="7.375" style="16" customWidth="1"/>
    <col min="9748" max="9748" width="8.375" style="16" customWidth="1"/>
    <col min="9749" max="9749" width="2.625" style="16" customWidth="1"/>
    <col min="9750" max="9762" width="7.625" style="16" customWidth="1"/>
    <col min="9763" max="9763" width="3.625" style="16" customWidth="1"/>
    <col min="9764" max="9766" width="7.625" style="16" customWidth="1"/>
    <col min="9767" max="9767" width="1.625" style="16" customWidth="1"/>
    <col min="9768" max="9784" width="7.625" style="16" customWidth="1"/>
    <col min="9785" max="9984" width="7.625" style="16"/>
    <col min="9985" max="9985" width="19.25" style="16" customWidth="1"/>
    <col min="9986" max="9986" width="13.25" style="16" customWidth="1"/>
    <col min="9987" max="9987" width="4.125" style="16" customWidth="1"/>
    <col min="9988" max="9988" width="7.75" style="16" customWidth="1"/>
    <col min="9989" max="9989" width="4.375" style="16" customWidth="1"/>
    <col min="9990" max="9990" width="10.125" style="16" customWidth="1"/>
    <col min="9991" max="9991" width="12" style="16" customWidth="1"/>
    <col min="9992" max="9992" width="2.375" style="16" customWidth="1"/>
    <col min="9993" max="9993" width="9.125" style="16" customWidth="1"/>
    <col min="9994" max="9994" width="9.625" style="16" customWidth="1"/>
    <col min="9995" max="9995" width="3.625" style="16" customWidth="1"/>
    <col min="9996" max="9996" width="10.625" style="16" customWidth="1"/>
    <col min="9997" max="9997" width="9.125" style="16" customWidth="1"/>
    <col min="9998" max="9998" width="4" style="16" customWidth="1"/>
    <col min="9999" max="9999" width="9.875" style="16" customWidth="1"/>
    <col min="10000" max="10000" width="9.375" style="16" customWidth="1"/>
    <col min="10001" max="10001" width="7.625" style="16" customWidth="1"/>
    <col min="10002" max="10003" width="7.375" style="16" customWidth="1"/>
    <col min="10004" max="10004" width="8.375" style="16" customWidth="1"/>
    <col min="10005" max="10005" width="2.625" style="16" customWidth="1"/>
    <col min="10006" max="10018" width="7.625" style="16" customWidth="1"/>
    <col min="10019" max="10019" width="3.625" style="16" customWidth="1"/>
    <col min="10020" max="10022" width="7.625" style="16" customWidth="1"/>
    <col min="10023" max="10023" width="1.625" style="16" customWidth="1"/>
    <col min="10024" max="10040" width="7.625" style="16" customWidth="1"/>
    <col min="10041" max="10240" width="7.625" style="16"/>
    <col min="10241" max="10241" width="19.25" style="16" customWidth="1"/>
    <col min="10242" max="10242" width="13.25" style="16" customWidth="1"/>
    <col min="10243" max="10243" width="4.125" style="16" customWidth="1"/>
    <col min="10244" max="10244" width="7.75" style="16" customWidth="1"/>
    <col min="10245" max="10245" width="4.375" style="16" customWidth="1"/>
    <col min="10246" max="10246" width="10.125" style="16" customWidth="1"/>
    <col min="10247" max="10247" width="12" style="16" customWidth="1"/>
    <col min="10248" max="10248" width="2.375" style="16" customWidth="1"/>
    <col min="10249" max="10249" width="9.125" style="16" customWidth="1"/>
    <col min="10250" max="10250" width="9.625" style="16" customWidth="1"/>
    <col min="10251" max="10251" width="3.625" style="16" customWidth="1"/>
    <col min="10252" max="10252" width="10.625" style="16" customWidth="1"/>
    <col min="10253" max="10253" width="9.125" style="16" customWidth="1"/>
    <col min="10254" max="10254" width="4" style="16" customWidth="1"/>
    <col min="10255" max="10255" width="9.875" style="16" customWidth="1"/>
    <col min="10256" max="10256" width="9.375" style="16" customWidth="1"/>
    <col min="10257" max="10257" width="7.625" style="16" customWidth="1"/>
    <col min="10258" max="10259" width="7.375" style="16" customWidth="1"/>
    <col min="10260" max="10260" width="8.375" style="16" customWidth="1"/>
    <col min="10261" max="10261" width="2.625" style="16" customWidth="1"/>
    <col min="10262" max="10274" width="7.625" style="16" customWidth="1"/>
    <col min="10275" max="10275" width="3.625" style="16" customWidth="1"/>
    <col min="10276" max="10278" width="7.625" style="16" customWidth="1"/>
    <col min="10279" max="10279" width="1.625" style="16" customWidth="1"/>
    <col min="10280" max="10296" width="7.625" style="16" customWidth="1"/>
    <col min="10297" max="10496" width="7.625" style="16"/>
    <col min="10497" max="10497" width="19.25" style="16" customWidth="1"/>
    <col min="10498" max="10498" width="13.25" style="16" customWidth="1"/>
    <col min="10499" max="10499" width="4.125" style="16" customWidth="1"/>
    <col min="10500" max="10500" width="7.75" style="16" customWidth="1"/>
    <col min="10501" max="10501" width="4.375" style="16" customWidth="1"/>
    <col min="10502" max="10502" width="10.125" style="16" customWidth="1"/>
    <col min="10503" max="10503" width="12" style="16" customWidth="1"/>
    <col min="10504" max="10504" width="2.375" style="16" customWidth="1"/>
    <col min="10505" max="10505" width="9.125" style="16" customWidth="1"/>
    <col min="10506" max="10506" width="9.625" style="16" customWidth="1"/>
    <col min="10507" max="10507" width="3.625" style="16" customWidth="1"/>
    <col min="10508" max="10508" width="10.625" style="16" customWidth="1"/>
    <col min="10509" max="10509" width="9.125" style="16" customWidth="1"/>
    <col min="10510" max="10510" width="4" style="16" customWidth="1"/>
    <col min="10511" max="10511" width="9.875" style="16" customWidth="1"/>
    <col min="10512" max="10512" width="9.375" style="16" customWidth="1"/>
    <col min="10513" max="10513" width="7.625" style="16" customWidth="1"/>
    <col min="10514" max="10515" width="7.375" style="16" customWidth="1"/>
    <col min="10516" max="10516" width="8.375" style="16" customWidth="1"/>
    <col min="10517" max="10517" width="2.625" style="16" customWidth="1"/>
    <col min="10518" max="10530" width="7.625" style="16" customWidth="1"/>
    <col min="10531" max="10531" width="3.625" style="16" customWidth="1"/>
    <col min="10532" max="10534" width="7.625" style="16" customWidth="1"/>
    <col min="10535" max="10535" width="1.625" style="16" customWidth="1"/>
    <col min="10536" max="10552" width="7.625" style="16" customWidth="1"/>
    <col min="10553" max="10752" width="7.625" style="16"/>
    <col min="10753" max="10753" width="19.25" style="16" customWidth="1"/>
    <col min="10754" max="10754" width="13.25" style="16" customWidth="1"/>
    <col min="10755" max="10755" width="4.125" style="16" customWidth="1"/>
    <col min="10756" max="10756" width="7.75" style="16" customWidth="1"/>
    <col min="10757" max="10757" width="4.375" style="16" customWidth="1"/>
    <col min="10758" max="10758" width="10.125" style="16" customWidth="1"/>
    <col min="10759" max="10759" width="12" style="16" customWidth="1"/>
    <col min="10760" max="10760" width="2.375" style="16" customWidth="1"/>
    <col min="10761" max="10761" width="9.125" style="16" customWidth="1"/>
    <col min="10762" max="10762" width="9.625" style="16" customWidth="1"/>
    <col min="10763" max="10763" width="3.625" style="16" customWidth="1"/>
    <col min="10764" max="10764" width="10.625" style="16" customWidth="1"/>
    <col min="10765" max="10765" width="9.125" style="16" customWidth="1"/>
    <col min="10766" max="10766" width="4" style="16" customWidth="1"/>
    <col min="10767" max="10767" width="9.875" style="16" customWidth="1"/>
    <col min="10768" max="10768" width="9.375" style="16" customWidth="1"/>
    <col min="10769" max="10769" width="7.625" style="16" customWidth="1"/>
    <col min="10770" max="10771" width="7.375" style="16" customWidth="1"/>
    <col min="10772" max="10772" width="8.375" style="16" customWidth="1"/>
    <col min="10773" max="10773" width="2.625" style="16" customWidth="1"/>
    <col min="10774" max="10786" width="7.625" style="16" customWidth="1"/>
    <col min="10787" max="10787" width="3.625" style="16" customWidth="1"/>
    <col min="10788" max="10790" width="7.625" style="16" customWidth="1"/>
    <col min="10791" max="10791" width="1.625" style="16" customWidth="1"/>
    <col min="10792" max="10808" width="7.625" style="16" customWidth="1"/>
    <col min="10809" max="11008" width="7.625" style="16"/>
    <col min="11009" max="11009" width="19.25" style="16" customWidth="1"/>
    <col min="11010" max="11010" width="13.25" style="16" customWidth="1"/>
    <col min="11011" max="11011" width="4.125" style="16" customWidth="1"/>
    <col min="11012" max="11012" width="7.75" style="16" customWidth="1"/>
    <col min="11013" max="11013" width="4.375" style="16" customWidth="1"/>
    <col min="11014" max="11014" width="10.125" style="16" customWidth="1"/>
    <col min="11015" max="11015" width="12" style="16" customWidth="1"/>
    <col min="11016" max="11016" width="2.375" style="16" customWidth="1"/>
    <col min="11017" max="11017" width="9.125" style="16" customWidth="1"/>
    <col min="11018" max="11018" width="9.625" style="16" customWidth="1"/>
    <col min="11019" max="11019" width="3.625" style="16" customWidth="1"/>
    <col min="11020" max="11020" width="10.625" style="16" customWidth="1"/>
    <col min="11021" max="11021" width="9.125" style="16" customWidth="1"/>
    <col min="11022" max="11022" width="4" style="16" customWidth="1"/>
    <col min="11023" max="11023" width="9.875" style="16" customWidth="1"/>
    <col min="11024" max="11024" width="9.375" style="16" customWidth="1"/>
    <col min="11025" max="11025" width="7.625" style="16" customWidth="1"/>
    <col min="11026" max="11027" width="7.375" style="16" customWidth="1"/>
    <col min="11028" max="11028" width="8.375" style="16" customWidth="1"/>
    <col min="11029" max="11029" width="2.625" style="16" customWidth="1"/>
    <col min="11030" max="11042" width="7.625" style="16" customWidth="1"/>
    <col min="11043" max="11043" width="3.625" style="16" customWidth="1"/>
    <col min="11044" max="11046" width="7.625" style="16" customWidth="1"/>
    <col min="11047" max="11047" width="1.625" style="16" customWidth="1"/>
    <col min="11048" max="11064" width="7.625" style="16" customWidth="1"/>
    <col min="11065" max="11264" width="7.625" style="16"/>
    <col min="11265" max="11265" width="19.25" style="16" customWidth="1"/>
    <col min="11266" max="11266" width="13.25" style="16" customWidth="1"/>
    <col min="11267" max="11267" width="4.125" style="16" customWidth="1"/>
    <col min="11268" max="11268" width="7.75" style="16" customWidth="1"/>
    <col min="11269" max="11269" width="4.375" style="16" customWidth="1"/>
    <col min="11270" max="11270" width="10.125" style="16" customWidth="1"/>
    <col min="11271" max="11271" width="12" style="16" customWidth="1"/>
    <col min="11272" max="11272" width="2.375" style="16" customWidth="1"/>
    <col min="11273" max="11273" width="9.125" style="16" customWidth="1"/>
    <col min="11274" max="11274" width="9.625" style="16" customWidth="1"/>
    <col min="11275" max="11275" width="3.625" style="16" customWidth="1"/>
    <col min="11276" max="11276" width="10.625" style="16" customWidth="1"/>
    <col min="11277" max="11277" width="9.125" style="16" customWidth="1"/>
    <col min="11278" max="11278" width="4" style="16" customWidth="1"/>
    <col min="11279" max="11279" width="9.875" style="16" customWidth="1"/>
    <col min="11280" max="11280" width="9.375" style="16" customWidth="1"/>
    <col min="11281" max="11281" width="7.625" style="16" customWidth="1"/>
    <col min="11282" max="11283" width="7.375" style="16" customWidth="1"/>
    <col min="11284" max="11284" width="8.375" style="16" customWidth="1"/>
    <col min="11285" max="11285" width="2.625" style="16" customWidth="1"/>
    <col min="11286" max="11298" width="7.625" style="16" customWidth="1"/>
    <col min="11299" max="11299" width="3.625" style="16" customWidth="1"/>
    <col min="11300" max="11302" width="7.625" style="16" customWidth="1"/>
    <col min="11303" max="11303" width="1.625" style="16" customWidth="1"/>
    <col min="11304" max="11320" width="7.625" style="16" customWidth="1"/>
    <col min="11321" max="11520" width="7.625" style="16"/>
    <col min="11521" max="11521" width="19.25" style="16" customWidth="1"/>
    <col min="11522" max="11522" width="13.25" style="16" customWidth="1"/>
    <col min="11523" max="11523" width="4.125" style="16" customWidth="1"/>
    <col min="11524" max="11524" width="7.75" style="16" customWidth="1"/>
    <col min="11525" max="11525" width="4.375" style="16" customWidth="1"/>
    <col min="11526" max="11526" width="10.125" style="16" customWidth="1"/>
    <col min="11527" max="11527" width="12" style="16" customWidth="1"/>
    <col min="11528" max="11528" width="2.375" style="16" customWidth="1"/>
    <col min="11529" max="11529" width="9.125" style="16" customWidth="1"/>
    <col min="11530" max="11530" width="9.625" style="16" customWidth="1"/>
    <col min="11531" max="11531" width="3.625" style="16" customWidth="1"/>
    <col min="11532" max="11532" width="10.625" style="16" customWidth="1"/>
    <col min="11533" max="11533" width="9.125" style="16" customWidth="1"/>
    <col min="11534" max="11534" width="4" style="16" customWidth="1"/>
    <col min="11535" max="11535" width="9.875" style="16" customWidth="1"/>
    <col min="11536" max="11536" width="9.375" style="16" customWidth="1"/>
    <col min="11537" max="11537" width="7.625" style="16" customWidth="1"/>
    <col min="11538" max="11539" width="7.375" style="16" customWidth="1"/>
    <col min="11540" max="11540" width="8.375" style="16" customWidth="1"/>
    <col min="11541" max="11541" width="2.625" style="16" customWidth="1"/>
    <col min="11542" max="11554" width="7.625" style="16" customWidth="1"/>
    <col min="11555" max="11555" width="3.625" style="16" customWidth="1"/>
    <col min="11556" max="11558" width="7.625" style="16" customWidth="1"/>
    <col min="11559" max="11559" width="1.625" style="16" customWidth="1"/>
    <col min="11560" max="11576" width="7.625" style="16" customWidth="1"/>
    <col min="11577" max="11776" width="7.625" style="16"/>
    <col min="11777" max="11777" width="19.25" style="16" customWidth="1"/>
    <col min="11778" max="11778" width="13.25" style="16" customWidth="1"/>
    <col min="11779" max="11779" width="4.125" style="16" customWidth="1"/>
    <col min="11780" max="11780" width="7.75" style="16" customWidth="1"/>
    <col min="11781" max="11781" width="4.375" style="16" customWidth="1"/>
    <col min="11782" max="11782" width="10.125" style="16" customWidth="1"/>
    <col min="11783" max="11783" width="12" style="16" customWidth="1"/>
    <col min="11784" max="11784" width="2.375" style="16" customWidth="1"/>
    <col min="11785" max="11785" width="9.125" style="16" customWidth="1"/>
    <col min="11786" max="11786" width="9.625" style="16" customWidth="1"/>
    <col min="11787" max="11787" width="3.625" style="16" customWidth="1"/>
    <col min="11788" max="11788" width="10.625" style="16" customWidth="1"/>
    <col min="11789" max="11789" width="9.125" style="16" customWidth="1"/>
    <col min="11790" max="11790" width="4" style="16" customWidth="1"/>
    <col min="11791" max="11791" width="9.875" style="16" customWidth="1"/>
    <col min="11792" max="11792" width="9.375" style="16" customWidth="1"/>
    <col min="11793" max="11793" width="7.625" style="16" customWidth="1"/>
    <col min="11794" max="11795" width="7.375" style="16" customWidth="1"/>
    <col min="11796" max="11796" width="8.375" style="16" customWidth="1"/>
    <col min="11797" max="11797" width="2.625" style="16" customWidth="1"/>
    <col min="11798" max="11810" width="7.625" style="16" customWidth="1"/>
    <col min="11811" max="11811" width="3.625" style="16" customWidth="1"/>
    <col min="11812" max="11814" width="7.625" style="16" customWidth="1"/>
    <col min="11815" max="11815" width="1.625" style="16" customWidth="1"/>
    <col min="11816" max="11832" width="7.625" style="16" customWidth="1"/>
    <col min="11833" max="12032" width="7.625" style="16"/>
    <col min="12033" max="12033" width="19.25" style="16" customWidth="1"/>
    <col min="12034" max="12034" width="13.25" style="16" customWidth="1"/>
    <col min="12035" max="12035" width="4.125" style="16" customWidth="1"/>
    <col min="12036" max="12036" width="7.75" style="16" customWidth="1"/>
    <col min="12037" max="12037" width="4.375" style="16" customWidth="1"/>
    <col min="12038" max="12038" width="10.125" style="16" customWidth="1"/>
    <col min="12039" max="12039" width="12" style="16" customWidth="1"/>
    <col min="12040" max="12040" width="2.375" style="16" customWidth="1"/>
    <col min="12041" max="12041" width="9.125" style="16" customWidth="1"/>
    <col min="12042" max="12042" width="9.625" style="16" customWidth="1"/>
    <col min="12043" max="12043" width="3.625" style="16" customWidth="1"/>
    <col min="12044" max="12044" width="10.625" style="16" customWidth="1"/>
    <col min="12045" max="12045" width="9.125" style="16" customWidth="1"/>
    <col min="12046" max="12046" width="4" style="16" customWidth="1"/>
    <col min="12047" max="12047" width="9.875" style="16" customWidth="1"/>
    <col min="12048" max="12048" width="9.375" style="16" customWidth="1"/>
    <col min="12049" max="12049" width="7.625" style="16" customWidth="1"/>
    <col min="12050" max="12051" width="7.375" style="16" customWidth="1"/>
    <col min="12052" max="12052" width="8.375" style="16" customWidth="1"/>
    <col min="12053" max="12053" width="2.625" style="16" customWidth="1"/>
    <col min="12054" max="12066" width="7.625" style="16" customWidth="1"/>
    <col min="12067" max="12067" width="3.625" style="16" customWidth="1"/>
    <col min="12068" max="12070" width="7.625" style="16" customWidth="1"/>
    <col min="12071" max="12071" width="1.625" style="16" customWidth="1"/>
    <col min="12072" max="12088" width="7.625" style="16" customWidth="1"/>
    <col min="12089" max="12288" width="7.625" style="16"/>
    <col min="12289" max="12289" width="19.25" style="16" customWidth="1"/>
    <col min="12290" max="12290" width="13.25" style="16" customWidth="1"/>
    <col min="12291" max="12291" width="4.125" style="16" customWidth="1"/>
    <col min="12292" max="12292" width="7.75" style="16" customWidth="1"/>
    <col min="12293" max="12293" width="4.375" style="16" customWidth="1"/>
    <col min="12294" max="12294" width="10.125" style="16" customWidth="1"/>
    <col min="12295" max="12295" width="12" style="16" customWidth="1"/>
    <col min="12296" max="12296" width="2.375" style="16" customWidth="1"/>
    <col min="12297" max="12297" width="9.125" style="16" customWidth="1"/>
    <col min="12298" max="12298" width="9.625" style="16" customWidth="1"/>
    <col min="12299" max="12299" width="3.625" style="16" customWidth="1"/>
    <col min="12300" max="12300" width="10.625" style="16" customWidth="1"/>
    <col min="12301" max="12301" width="9.125" style="16" customWidth="1"/>
    <col min="12302" max="12302" width="4" style="16" customWidth="1"/>
    <col min="12303" max="12303" width="9.875" style="16" customWidth="1"/>
    <col min="12304" max="12304" width="9.375" style="16" customWidth="1"/>
    <col min="12305" max="12305" width="7.625" style="16" customWidth="1"/>
    <col min="12306" max="12307" width="7.375" style="16" customWidth="1"/>
    <col min="12308" max="12308" width="8.375" style="16" customWidth="1"/>
    <col min="12309" max="12309" width="2.625" style="16" customWidth="1"/>
    <col min="12310" max="12322" width="7.625" style="16" customWidth="1"/>
    <col min="12323" max="12323" width="3.625" style="16" customWidth="1"/>
    <col min="12324" max="12326" width="7.625" style="16" customWidth="1"/>
    <col min="12327" max="12327" width="1.625" style="16" customWidth="1"/>
    <col min="12328" max="12344" width="7.625" style="16" customWidth="1"/>
    <col min="12345" max="12544" width="7.625" style="16"/>
    <col min="12545" max="12545" width="19.25" style="16" customWidth="1"/>
    <col min="12546" max="12546" width="13.25" style="16" customWidth="1"/>
    <col min="12547" max="12547" width="4.125" style="16" customWidth="1"/>
    <col min="12548" max="12548" width="7.75" style="16" customWidth="1"/>
    <col min="12549" max="12549" width="4.375" style="16" customWidth="1"/>
    <col min="12550" max="12550" width="10.125" style="16" customWidth="1"/>
    <col min="12551" max="12551" width="12" style="16" customWidth="1"/>
    <col min="12552" max="12552" width="2.375" style="16" customWidth="1"/>
    <col min="12553" max="12553" width="9.125" style="16" customWidth="1"/>
    <col min="12554" max="12554" width="9.625" style="16" customWidth="1"/>
    <col min="12555" max="12555" width="3.625" style="16" customWidth="1"/>
    <col min="12556" max="12556" width="10.625" style="16" customWidth="1"/>
    <col min="12557" max="12557" width="9.125" style="16" customWidth="1"/>
    <col min="12558" max="12558" width="4" style="16" customWidth="1"/>
    <col min="12559" max="12559" width="9.875" style="16" customWidth="1"/>
    <col min="12560" max="12560" width="9.375" style="16" customWidth="1"/>
    <col min="12561" max="12561" width="7.625" style="16" customWidth="1"/>
    <col min="12562" max="12563" width="7.375" style="16" customWidth="1"/>
    <col min="12564" max="12564" width="8.375" style="16" customWidth="1"/>
    <col min="12565" max="12565" width="2.625" style="16" customWidth="1"/>
    <col min="12566" max="12578" width="7.625" style="16" customWidth="1"/>
    <col min="12579" max="12579" width="3.625" style="16" customWidth="1"/>
    <col min="12580" max="12582" width="7.625" style="16" customWidth="1"/>
    <col min="12583" max="12583" width="1.625" style="16" customWidth="1"/>
    <col min="12584" max="12600" width="7.625" style="16" customWidth="1"/>
    <col min="12601" max="12800" width="7.625" style="16"/>
    <col min="12801" max="12801" width="19.25" style="16" customWidth="1"/>
    <col min="12802" max="12802" width="13.25" style="16" customWidth="1"/>
    <col min="12803" max="12803" width="4.125" style="16" customWidth="1"/>
    <col min="12804" max="12804" width="7.75" style="16" customWidth="1"/>
    <col min="12805" max="12805" width="4.375" style="16" customWidth="1"/>
    <col min="12806" max="12806" width="10.125" style="16" customWidth="1"/>
    <col min="12807" max="12807" width="12" style="16" customWidth="1"/>
    <col min="12808" max="12808" width="2.375" style="16" customWidth="1"/>
    <col min="12809" max="12809" width="9.125" style="16" customWidth="1"/>
    <col min="12810" max="12810" width="9.625" style="16" customWidth="1"/>
    <col min="12811" max="12811" width="3.625" style="16" customWidth="1"/>
    <col min="12812" max="12812" width="10.625" style="16" customWidth="1"/>
    <col min="12813" max="12813" width="9.125" style="16" customWidth="1"/>
    <col min="12814" max="12814" width="4" style="16" customWidth="1"/>
    <col min="12815" max="12815" width="9.875" style="16" customWidth="1"/>
    <col min="12816" max="12816" width="9.375" style="16" customWidth="1"/>
    <col min="12817" max="12817" width="7.625" style="16" customWidth="1"/>
    <col min="12818" max="12819" width="7.375" style="16" customWidth="1"/>
    <col min="12820" max="12820" width="8.375" style="16" customWidth="1"/>
    <col min="12821" max="12821" width="2.625" style="16" customWidth="1"/>
    <col min="12822" max="12834" width="7.625" style="16" customWidth="1"/>
    <col min="12835" max="12835" width="3.625" style="16" customWidth="1"/>
    <col min="12836" max="12838" width="7.625" style="16" customWidth="1"/>
    <col min="12839" max="12839" width="1.625" style="16" customWidth="1"/>
    <col min="12840" max="12856" width="7.625" style="16" customWidth="1"/>
    <col min="12857" max="13056" width="7.625" style="16"/>
    <col min="13057" max="13057" width="19.25" style="16" customWidth="1"/>
    <col min="13058" max="13058" width="13.25" style="16" customWidth="1"/>
    <col min="13059" max="13059" width="4.125" style="16" customWidth="1"/>
    <col min="13060" max="13060" width="7.75" style="16" customWidth="1"/>
    <col min="13061" max="13061" width="4.375" style="16" customWidth="1"/>
    <col min="13062" max="13062" width="10.125" style="16" customWidth="1"/>
    <col min="13063" max="13063" width="12" style="16" customWidth="1"/>
    <col min="13064" max="13064" width="2.375" style="16" customWidth="1"/>
    <col min="13065" max="13065" width="9.125" style="16" customWidth="1"/>
    <col min="13066" max="13066" width="9.625" style="16" customWidth="1"/>
    <col min="13067" max="13067" width="3.625" style="16" customWidth="1"/>
    <col min="13068" max="13068" width="10.625" style="16" customWidth="1"/>
    <col min="13069" max="13069" width="9.125" style="16" customWidth="1"/>
    <col min="13070" max="13070" width="4" style="16" customWidth="1"/>
    <col min="13071" max="13071" width="9.875" style="16" customWidth="1"/>
    <col min="13072" max="13072" width="9.375" style="16" customWidth="1"/>
    <col min="13073" max="13073" width="7.625" style="16" customWidth="1"/>
    <col min="13074" max="13075" width="7.375" style="16" customWidth="1"/>
    <col min="13076" max="13076" width="8.375" style="16" customWidth="1"/>
    <col min="13077" max="13077" width="2.625" style="16" customWidth="1"/>
    <col min="13078" max="13090" width="7.625" style="16" customWidth="1"/>
    <col min="13091" max="13091" width="3.625" style="16" customWidth="1"/>
    <col min="13092" max="13094" width="7.625" style="16" customWidth="1"/>
    <col min="13095" max="13095" width="1.625" style="16" customWidth="1"/>
    <col min="13096" max="13112" width="7.625" style="16" customWidth="1"/>
    <col min="13113" max="13312" width="7.625" style="16"/>
    <col min="13313" max="13313" width="19.25" style="16" customWidth="1"/>
    <col min="13314" max="13314" width="13.25" style="16" customWidth="1"/>
    <col min="13315" max="13315" width="4.125" style="16" customWidth="1"/>
    <col min="13316" max="13316" width="7.75" style="16" customWidth="1"/>
    <col min="13317" max="13317" width="4.375" style="16" customWidth="1"/>
    <col min="13318" max="13318" width="10.125" style="16" customWidth="1"/>
    <col min="13319" max="13319" width="12" style="16" customWidth="1"/>
    <col min="13320" max="13320" width="2.375" style="16" customWidth="1"/>
    <col min="13321" max="13321" width="9.125" style="16" customWidth="1"/>
    <col min="13322" max="13322" width="9.625" style="16" customWidth="1"/>
    <col min="13323" max="13323" width="3.625" style="16" customWidth="1"/>
    <col min="13324" max="13324" width="10.625" style="16" customWidth="1"/>
    <col min="13325" max="13325" width="9.125" style="16" customWidth="1"/>
    <col min="13326" max="13326" width="4" style="16" customWidth="1"/>
    <col min="13327" max="13327" width="9.875" style="16" customWidth="1"/>
    <col min="13328" max="13328" width="9.375" style="16" customWidth="1"/>
    <col min="13329" max="13329" width="7.625" style="16" customWidth="1"/>
    <col min="13330" max="13331" width="7.375" style="16" customWidth="1"/>
    <col min="13332" max="13332" width="8.375" style="16" customWidth="1"/>
    <col min="13333" max="13333" width="2.625" style="16" customWidth="1"/>
    <col min="13334" max="13346" width="7.625" style="16" customWidth="1"/>
    <col min="13347" max="13347" width="3.625" style="16" customWidth="1"/>
    <col min="13348" max="13350" width="7.625" style="16" customWidth="1"/>
    <col min="13351" max="13351" width="1.625" style="16" customWidth="1"/>
    <col min="13352" max="13368" width="7.625" style="16" customWidth="1"/>
    <col min="13369" max="13568" width="7.625" style="16"/>
    <col min="13569" max="13569" width="19.25" style="16" customWidth="1"/>
    <col min="13570" max="13570" width="13.25" style="16" customWidth="1"/>
    <col min="13571" max="13571" width="4.125" style="16" customWidth="1"/>
    <col min="13572" max="13572" width="7.75" style="16" customWidth="1"/>
    <col min="13573" max="13573" width="4.375" style="16" customWidth="1"/>
    <col min="13574" max="13574" width="10.125" style="16" customWidth="1"/>
    <col min="13575" max="13575" width="12" style="16" customWidth="1"/>
    <col min="13576" max="13576" width="2.375" style="16" customWidth="1"/>
    <col min="13577" max="13577" width="9.125" style="16" customWidth="1"/>
    <col min="13578" max="13578" width="9.625" style="16" customWidth="1"/>
    <col min="13579" max="13579" width="3.625" style="16" customWidth="1"/>
    <col min="13580" max="13580" width="10.625" style="16" customWidth="1"/>
    <col min="13581" max="13581" width="9.125" style="16" customWidth="1"/>
    <col min="13582" max="13582" width="4" style="16" customWidth="1"/>
    <col min="13583" max="13583" width="9.875" style="16" customWidth="1"/>
    <col min="13584" max="13584" width="9.375" style="16" customWidth="1"/>
    <col min="13585" max="13585" width="7.625" style="16" customWidth="1"/>
    <col min="13586" max="13587" width="7.375" style="16" customWidth="1"/>
    <col min="13588" max="13588" width="8.375" style="16" customWidth="1"/>
    <col min="13589" max="13589" width="2.625" style="16" customWidth="1"/>
    <col min="13590" max="13602" width="7.625" style="16" customWidth="1"/>
    <col min="13603" max="13603" width="3.625" style="16" customWidth="1"/>
    <col min="13604" max="13606" width="7.625" style="16" customWidth="1"/>
    <col min="13607" max="13607" width="1.625" style="16" customWidth="1"/>
    <col min="13608" max="13624" width="7.625" style="16" customWidth="1"/>
    <col min="13625" max="13824" width="7.625" style="16"/>
    <col min="13825" max="13825" width="19.25" style="16" customWidth="1"/>
    <col min="13826" max="13826" width="13.25" style="16" customWidth="1"/>
    <col min="13827" max="13827" width="4.125" style="16" customWidth="1"/>
    <col min="13828" max="13828" width="7.75" style="16" customWidth="1"/>
    <col min="13829" max="13829" width="4.375" style="16" customWidth="1"/>
    <col min="13830" max="13830" width="10.125" style="16" customWidth="1"/>
    <col min="13831" max="13831" width="12" style="16" customWidth="1"/>
    <col min="13832" max="13832" width="2.375" style="16" customWidth="1"/>
    <col min="13833" max="13833" width="9.125" style="16" customWidth="1"/>
    <col min="13834" max="13834" width="9.625" style="16" customWidth="1"/>
    <col min="13835" max="13835" width="3.625" style="16" customWidth="1"/>
    <col min="13836" max="13836" width="10.625" style="16" customWidth="1"/>
    <col min="13837" max="13837" width="9.125" style="16" customWidth="1"/>
    <col min="13838" max="13838" width="4" style="16" customWidth="1"/>
    <col min="13839" max="13839" width="9.875" style="16" customWidth="1"/>
    <col min="13840" max="13840" width="9.375" style="16" customWidth="1"/>
    <col min="13841" max="13841" width="7.625" style="16" customWidth="1"/>
    <col min="13842" max="13843" width="7.375" style="16" customWidth="1"/>
    <col min="13844" max="13844" width="8.375" style="16" customWidth="1"/>
    <col min="13845" max="13845" width="2.625" style="16" customWidth="1"/>
    <col min="13846" max="13858" width="7.625" style="16" customWidth="1"/>
    <col min="13859" max="13859" width="3.625" style="16" customWidth="1"/>
    <col min="13860" max="13862" width="7.625" style="16" customWidth="1"/>
    <col min="13863" max="13863" width="1.625" style="16" customWidth="1"/>
    <col min="13864" max="13880" width="7.625" style="16" customWidth="1"/>
    <col min="13881" max="14080" width="7.625" style="16"/>
    <col min="14081" max="14081" width="19.25" style="16" customWidth="1"/>
    <col min="14082" max="14082" width="13.25" style="16" customWidth="1"/>
    <col min="14083" max="14083" width="4.125" style="16" customWidth="1"/>
    <col min="14084" max="14084" width="7.75" style="16" customWidth="1"/>
    <col min="14085" max="14085" width="4.375" style="16" customWidth="1"/>
    <col min="14086" max="14086" width="10.125" style="16" customWidth="1"/>
    <col min="14087" max="14087" width="12" style="16" customWidth="1"/>
    <col min="14088" max="14088" width="2.375" style="16" customWidth="1"/>
    <col min="14089" max="14089" width="9.125" style="16" customWidth="1"/>
    <col min="14090" max="14090" width="9.625" style="16" customWidth="1"/>
    <col min="14091" max="14091" width="3.625" style="16" customWidth="1"/>
    <col min="14092" max="14092" width="10.625" style="16" customWidth="1"/>
    <col min="14093" max="14093" width="9.125" style="16" customWidth="1"/>
    <col min="14094" max="14094" width="4" style="16" customWidth="1"/>
    <col min="14095" max="14095" width="9.875" style="16" customWidth="1"/>
    <col min="14096" max="14096" width="9.375" style="16" customWidth="1"/>
    <col min="14097" max="14097" width="7.625" style="16" customWidth="1"/>
    <col min="14098" max="14099" width="7.375" style="16" customWidth="1"/>
    <col min="14100" max="14100" width="8.375" style="16" customWidth="1"/>
    <col min="14101" max="14101" width="2.625" style="16" customWidth="1"/>
    <col min="14102" max="14114" width="7.625" style="16" customWidth="1"/>
    <col min="14115" max="14115" width="3.625" style="16" customWidth="1"/>
    <col min="14116" max="14118" width="7.625" style="16" customWidth="1"/>
    <col min="14119" max="14119" width="1.625" style="16" customWidth="1"/>
    <col min="14120" max="14136" width="7.625" style="16" customWidth="1"/>
    <col min="14137" max="14336" width="7.625" style="16"/>
    <col min="14337" max="14337" width="19.25" style="16" customWidth="1"/>
    <col min="14338" max="14338" width="13.25" style="16" customWidth="1"/>
    <col min="14339" max="14339" width="4.125" style="16" customWidth="1"/>
    <col min="14340" max="14340" width="7.75" style="16" customWidth="1"/>
    <col min="14341" max="14341" width="4.375" style="16" customWidth="1"/>
    <col min="14342" max="14342" width="10.125" style="16" customWidth="1"/>
    <col min="14343" max="14343" width="12" style="16" customWidth="1"/>
    <col min="14344" max="14344" width="2.375" style="16" customWidth="1"/>
    <col min="14345" max="14345" width="9.125" style="16" customWidth="1"/>
    <col min="14346" max="14346" width="9.625" style="16" customWidth="1"/>
    <col min="14347" max="14347" width="3.625" style="16" customWidth="1"/>
    <col min="14348" max="14348" width="10.625" style="16" customWidth="1"/>
    <col min="14349" max="14349" width="9.125" style="16" customWidth="1"/>
    <col min="14350" max="14350" width="4" style="16" customWidth="1"/>
    <col min="14351" max="14351" width="9.875" style="16" customWidth="1"/>
    <col min="14352" max="14352" width="9.375" style="16" customWidth="1"/>
    <col min="14353" max="14353" width="7.625" style="16" customWidth="1"/>
    <col min="14354" max="14355" width="7.375" style="16" customWidth="1"/>
    <col min="14356" max="14356" width="8.375" style="16" customWidth="1"/>
    <col min="14357" max="14357" width="2.625" style="16" customWidth="1"/>
    <col min="14358" max="14370" width="7.625" style="16" customWidth="1"/>
    <col min="14371" max="14371" width="3.625" style="16" customWidth="1"/>
    <col min="14372" max="14374" width="7.625" style="16" customWidth="1"/>
    <col min="14375" max="14375" width="1.625" style="16" customWidth="1"/>
    <col min="14376" max="14392" width="7.625" style="16" customWidth="1"/>
    <col min="14393" max="14592" width="7.625" style="16"/>
    <col min="14593" max="14593" width="19.25" style="16" customWidth="1"/>
    <col min="14594" max="14594" width="13.25" style="16" customWidth="1"/>
    <col min="14595" max="14595" width="4.125" style="16" customWidth="1"/>
    <col min="14596" max="14596" width="7.75" style="16" customWidth="1"/>
    <col min="14597" max="14597" width="4.375" style="16" customWidth="1"/>
    <col min="14598" max="14598" width="10.125" style="16" customWidth="1"/>
    <col min="14599" max="14599" width="12" style="16" customWidth="1"/>
    <col min="14600" max="14600" width="2.375" style="16" customWidth="1"/>
    <col min="14601" max="14601" width="9.125" style="16" customWidth="1"/>
    <col min="14602" max="14602" width="9.625" style="16" customWidth="1"/>
    <col min="14603" max="14603" width="3.625" style="16" customWidth="1"/>
    <col min="14604" max="14604" width="10.625" style="16" customWidth="1"/>
    <col min="14605" max="14605" width="9.125" style="16" customWidth="1"/>
    <col min="14606" max="14606" width="4" style="16" customWidth="1"/>
    <col min="14607" max="14607" width="9.875" style="16" customWidth="1"/>
    <col min="14608" max="14608" width="9.375" style="16" customWidth="1"/>
    <col min="14609" max="14609" width="7.625" style="16" customWidth="1"/>
    <col min="14610" max="14611" width="7.375" style="16" customWidth="1"/>
    <col min="14612" max="14612" width="8.375" style="16" customWidth="1"/>
    <col min="14613" max="14613" width="2.625" style="16" customWidth="1"/>
    <col min="14614" max="14626" width="7.625" style="16" customWidth="1"/>
    <col min="14627" max="14627" width="3.625" style="16" customWidth="1"/>
    <col min="14628" max="14630" width="7.625" style="16" customWidth="1"/>
    <col min="14631" max="14631" width="1.625" style="16" customWidth="1"/>
    <col min="14632" max="14648" width="7.625" style="16" customWidth="1"/>
    <col min="14649" max="14848" width="7.625" style="16"/>
    <col min="14849" max="14849" width="19.25" style="16" customWidth="1"/>
    <col min="14850" max="14850" width="13.25" style="16" customWidth="1"/>
    <col min="14851" max="14851" width="4.125" style="16" customWidth="1"/>
    <col min="14852" max="14852" width="7.75" style="16" customWidth="1"/>
    <col min="14853" max="14853" width="4.375" style="16" customWidth="1"/>
    <col min="14854" max="14854" width="10.125" style="16" customWidth="1"/>
    <col min="14855" max="14855" width="12" style="16" customWidth="1"/>
    <col min="14856" max="14856" width="2.375" style="16" customWidth="1"/>
    <col min="14857" max="14857" width="9.125" style="16" customWidth="1"/>
    <col min="14858" max="14858" width="9.625" style="16" customWidth="1"/>
    <col min="14859" max="14859" width="3.625" style="16" customWidth="1"/>
    <col min="14860" max="14860" width="10.625" style="16" customWidth="1"/>
    <col min="14861" max="14861" width="9.125" style="16" customWidth="1"/>
    <col min="14862" max="14862" width="4" style="16" customWidth="1"/>
    <col min="14863" max="14863" width="9.875" style="16" customWidth="1"/>
    <col min="14864" max="14864" width="9.375" style="16" customWidth="1"/>
    <col min="14865" max="14865" width="7.625" style="16" customWidth="1"/>
    <col min="14866" max="14867" width="7.375" style="16" customWidth="1"/>
    <col min="14868" max="14868" width="8.375" style="16" customWidth="1"/>
    <col min="14869" max="14869" width="2.625" style="16" customWidth="1"/>
    <col min="14870" max="14882" width="7.625" style="16" customWidth="1"/>
    <col min="14883" max="14883" width="3.625" style="16" customWidth="1"/>
    <col min="14884" max="14886" width="7.625" style="16" customWidth="1"/>
    <col min="14887" max="14887" width="1.625" style="16" customWidth="1"/>
    <col min="14888" max="14904" width="7.625" style="16" customWidth="1"/>
    <col min="14905" max="15104" width="7.625" style="16"/>
    <col min="15105" max="15105" width="19.25" style="16" customWidth="1"/>
    <col min="15106" max="15106" width="13.25" style="16" customWidth="1"/>
    <col min="15107" max="15107" width="4.125" style="16" customWidth="1"/>
    <col min="15108" max="15108" width="7.75" style="16" customWidth="1"/>
    <col min="15109" max="15109" width="4.375" style="16" customWidth="1"/>
    <col min="15110" max="15110" width="10.125" style="16" customWidth="1"/>
    <col min="15111" max="15111" width="12" style="16" customWidth="1"/>
    <col min="15112" max="15112" width="2.375" style="16" customWidth="1"/>
    <col min="15113" max="15113" width="9.125" style="16" customWidth="1"/>
    <col min="15114" max="15114" width="9.625" style="16" customWidth="1"/>
    <col min="15115" max="15115" width="3.625" style="16" customWidth="1"/>
    <col min="15116" max="15116" width="10.625" style="16" customWidth="1"/>
    <col min="15117" max="15117" width="9.125" style="16" customWidth="1"/>
    <col min="15118" max="15118" width="4" style="16" customWidth="1"/>
    <col min="15119" max="15119" width="9.875" style="16" customWidth="1"/>
    <col min="15120" max="15120" width="9.375" style="16" customWidth="1"/>
    <col min="15121" max="15121" width="7.625" style="16" customWidth="1"/>
    <col min="15122" max="15123" width="7.375" style="16" customWidth="1"/>
    <col min="15124" max="15124" width="8.375" style="16" customWidth="1"/>
    <col min="15125" max="15125" width="2.625" style="16" customWidth="1"/>
    <col min="15126" max="15138" width="7.625" style="16" customWidth="1"/>
    <col min="15139" max="15139" width="3.625" style="16" customWidth="1"/>
    <col min="15140" max="15142" width="7.625" style="16" customWidth="1"/>
    <col min="15143" max="15143" width="1.625" style="16" customWidth="1"/>
    <col min="15144" max="15160" width="7.625" style="16" customWidth="1"/>
    <col min="15161" max="15360" width="7.625" style="16"/>
    <col min="15361" max="15361" width="19.25" style="16" customWidth="1"/>
    <col min="15362" max="15362" width="13.25" style="16" customWidth="1"/>
    <col min="15363" max="15363" width="4.125" style="16" customWidth="1"/>
    <col min="15364" max="15364" width="7.75" style="16" customWidth="1"/>
    <col min="15365" max="15365" width="4.375" style="16" customWidth="1"/>
    <col min="15366" max="15366" width="10.125" style="16" customWidth="1"/>
    <col min="15367" max="15367" width="12" style="16" customWidth="1"/>
    <col min="15368" max="15368" width="2.375" style="16" customWidth="1"/>
    <col min="15369" max="15369" width="9.125" style="16" customWidth="1"/>
    <col min="15370" max="15370" width="9.625" style="16" customWidth="1"/>
    <col min="15371" max="15371" width="3.625" style="16" customWidth="1"/>
    <col min="15372" max="15372" width="10.625" style="16" customWidth="1"/>
    <col min="15373" max="15373" width="9.125" style="16" customWidth="1"/>
    <col min="15374" max="15374" width="4" style="16" customWidth="1"/>
    <col min="15375" max="15375" width="9.875" style="16" customWidth="1"/>
    <col min="15376" max="15376" width="9.375" style="16" customWidth="1"/>
    <col min="15377" max="15377" width="7.625" style="16" customWidth="1"/>
    <col min="15378" max="15379" width="7.375" style="16" customWidth="1"/>
    <col min="15380" max="15380" width="8.375" style="16" customWidth="1"/>
    <col min="15381" max="15381" width="2.625" style="16" customWidth="1"/>
    <col min="15382" max="15394" width="7.625" style="16" customWidth="1"/>
    <col min="15395" max="15395" width="3.625" style="16" customWidth="1"/>
    <col min="15396" max="15398" width="7.625" style="16" customWidth="1"/>
    <col min="15399" max="15399" width="1.625" style="16" customWidth="1"/>
    <col min="15400" max="15416" width="7.625" style="16" customWidth="1"/>
    <col min="15417" max="15616" width="7.625" style="16"/>
    <col min="15617" max="15617" width="19.25" style="16" customWidth="1"/>
    <col min="15618" max="15618" width="13.25" style="16" customWidth="1"/>
    <col min="15619" max="15619" width="4.125" style="16" customWidth="1"/>
    <col min="15620" max="15620" width="7.75" style="16" customWidth="1"/>
    <col min="15621" max="15621" width="4.375" style="16" customWidth="1"/>
    <col min="15622" max="15622" width="10.125" style="16" customWidth="1"/>
    <col min="15623" max="15623" width="12" style="16" customWidth="1"/>
    <col min="15624" max="15624" width="2.375" style="16" customWidth="1"/>
    <col min="15625" max="15625" width="9.125" style="16" customWidth="1"/>
    <col min="15626" max="15626" width="9.625" style="16" customWidth="1"/>
    <col min="15627" max="15627" width="3.625" style="16" customWidth="1"/>
    <col min="15628" max="15628" width="10.625" style="16" customWidth="1"/>
    <col min="15629" max="15629" width="9.125" style="16" customWidth="1"/>
    <col min="15630" max="15630" width="4" style="16" customWidth="1"/>
    <col min="15631" max="15631" width="9.875" style="16" customWidth="1"/>
    <col min="15632" max="15632" width="9.375" style="16" customWidth="1"/>
    <col min="15633" max="15633" width="7.625" style="16" customWidth="1"/>
    <col min="15634" max="15635" width="7.375" style="16" customWidth="1"/>
    <col min="15636" max="15636" width="8.375" style="16" customWidth="1"/>
    <col min="15637" max="15637" width="2.625" style="16" customWidth="1"/>
    <col min="15638" max="15650" width="7.625" style="16" customWidth="1"/>
    <col min="15651" max="15651" width="3.625" style="16" customWidth="1"/>
    <col min="15652" max="15654" width="7.625" style="16" customWidth="1"/>
    <col min="15655" max="15655" width="1.625" style="16" customWidth="1"/>
    <col min="15656" max="15672" width="7.625" style="16" customWidth="1"/>
    <col min="15673" max="15872" width="7.625" style="16"/>
    <col min="15873" max="15873" width="19.25" style="16" customWidth="1"/>
    <col min="15874" max="15874" width="13.25" style="16" customWidth="1"/>
    <col min="15875" max="15875" width="4.125" style="16" customWidth="1"/>
    <col min="15876" max="15876" width="7.75" style="16" customWidth="1"/>
    <col min="15877" max="15877" width="4.375" style="16" customWidth="1"/>
    <col min="15878" max="15878" width="10.125" style="16" customWidth="1"/>
    <col min="15879" max="15879" width="12" style="16" customWidth="1"/>
    <col min="15880" max="15880" width="2.375" style="16" customWidth="1"/>
    <col min="15881" max="15881" width="9.125" style="16" customWidth="1"/>
    <col min="15882" max="15882" width="9.625" style="16" customWidth="1"/>
    <col min="15883" max="15883" width="3.625" style="16" customWidth="1"/>
    <col min="15884" max="15884" width="10.625" style="16" customWidth="1"/>
    <col min="15885" max="15885" width="9.125" style="16" customWidth="1"/>
    <col min="15886" max="15886" width="4" style="16" customWidth="1"/>
    <col min="15887" max="15887" width="9.875" style="16" customWidth="1"/>
    <col min="15888" max="15888" width="9.375" style="16" customWidth="1"/>
    <col min="15889" max="15889" width="7.625" style="16" customWidth="1"/>
    <col min="15890" max="15891" width="7.375" style="16" customWidth="1"/>
    <col min="15892" max="15892" width="8.375" style="16" customWidth="1"/>
    <col min="15893" max="15893" width="2.625" style="16" customWidth="1"/>
    <col min="15894" max="15906" width="7.625" style="16" customWidth="1"/>
    <col min="15907" max="15907" width="3.625" style="16" customWidth="1"/>
    <col min="15908" max="15910" width="7.625" style="16" customWidth="1"/>
    <col min="15911" max="15911" width="1.625" style="16" customWidth="1"/>
    <col min="15912" max="15928" width="7.625" style="16" customWidth="1"/>
    <col min="15929" max="16128" width="7.625" style="16"/>
    <col min="16129" max="16129" width="19.25" style="16" customWidth="1"/>
    <col min="16130" max="16130" width="13.25" style="16" customWidth="1"/>
    <col min="16131" max="16131" width="4.125" style="16" customWidth="1"/>
    <col min="16132" max="16132" width="7.75" style="16" customWidth="1"/>
    <col min="16133" max="16133" width="4.375" style="16" customWidth="1"/>
    <col min="16134" max="16134" width="10.125" style="16" customWidth="1"/>
    <col min="16135" max="16135" width="12" style="16" customWidth="1"/>
    <col min="16136" max="16136" width="2.375" style="16" customWidth="1"/>
    <col min="16137" max="16137" width="9.125" style="16" customWidth="1"/>
    <col min="16138" max="16138" width="9.625" style="16" customWidth="1"/>
    <col min="16139" max="16139" width="3.625" style="16" customWidth="1"/>
    <col min="16140" max="16140" width="10.625" style="16" customWidth="1"/>
    <col min="16141" max="16141" width="9.125" style="16" customWidth="1"/>
    <col min="16142" max="16142" width="4" style="16" customWidth="1"/>
    <col min="16143" max="16143" width="9.875" style="16" customWidth="1"/>
    <col min="16144" max="16144" width="9.375" style="16" customWidth="1"/>
    <col min="16145" max="16145" width="7.625" style="16" customWidth="1"/>
    <col min="16146" max="16147" width="7.375" style="16" customWidth="1"/>
    <col min="16148" max="16148" width="8.375" style="16" customWidth="1"/>
    <col min="16149" max="16149" width="2.625" style="16" customWidth="1"/>
    <col min="16150" max="16162" width="7.625" style="16" customWidth="1"/>
    <col min="16163" max="16163" width="3.625" style="16" customWidth="1"/>
    <col min="16164" max="16166" width="7.625" style="16" customWidth="1"/>
    <col min="16167" max="16167" width="1.625" style="16" customWidth="1"/>
    <col min="16168" max="16184" width="7.625" style="16" customWidth="1"/>
    <col min="16185" max="16384" width="7.625" style="16"/>
  </cols>
  <sheetData>
    <row r="1" spans="1:56" s="51" customFormat="1" x14ac:dyDescent="0.2">
      <c r="A1" s="354" t="s">
        <v>331</v>
      </c>
      <c r="B1" s="355"/>
      <c r="C1" s="355"/>
      <c r="D1" s="355"/>
      <c r="E1" s="355"/>
      <c r="F1" s="355"/>
      <c r="G1" s="355"/>
      <c r="H1" s="355"/>
      <c r="I1" s="357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7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9" customFormat="1" ht="12.75" x14ac:dyDescent="0.2">
      <c r="A2" s="399"/>
      <c r="B2" s="400"/>
      <c r="C2" s="400"/>
      <c r="D2" s="400"/>
      <c r="E2" s="400"/>
      <c r="F2" s="400"/>
      <c r="G2" s="400"/>
      <c r="H2" s="400"/>
      <c r="I2" s="401"/>
      <c r="J2" s="56"/>
      <c r="K2" s="57"/>
      <c r="L2" s="57"/>
      <c r="M2" s="58"/>
      <c r="P2" s="58"/>
      <c r="R2" s="16"/>
      <c r="S2" s="35"/>
      <c r="T2" s="16"/>
      <c r="U2" s="16"/>
    </row>
    <row r="3" spans="1:56" s="40" customFormat="1" ht="15" x14ac:dyDescent="0.2">
      <c r="A3" s="358"/>
      <c r="B3" s="15" t="s">
        <v>65</v>
      </c>
      <c r="C3" s="15"/>
      <c r="D3" s="15"/>
      <c r="E3" s="360"/>
      <c r="F3" s="360"/>
      <c r="G3" s="15" t="s">
        <v>253</v>
      </c>
      <c r="H3" s="15"/>
      <c r="I3" s="363"/>
      <c r="J3" s="56"/>
      <c r="K3" s="16"/>
      <c r="L3" s="16"/>
      <c r="M3" s="60"/>
      <c r="P3" s="60"/>
      <c r="S3" s="61"/>
    </row>
    <row r="4" spans="1:56" x14ac:dyDescent="0.2">
      <c r="A4" s="362" t="s">
        <v>44</v>
      </c>
      <c r="B4" s="26" t="s">
        <v>393</v>
      </c>
      <c r="C4" s="26"/>
      <c r="D4" s="26" t="s">
        <v>350</v>
      </c>
      <c r="E4" s="26"/>
      <c r="F4" s="23" t="s">
        <v>44</v>
      </c>
      <c r="G4" s="26" t="s">
        <v>393</v>
      </c>
      <c r="H4" s="26"/>
      <c r="I4" s="402" t="s">
        <v>350</v>
      </c>
      <c r="J4" s="56"/>
      <c r="K4" s="27"/>
      <c r="L4" s="56"/>
      <c r="M4" s="56"/>
      <c r="O4" s="56"/>
      <c r="P4" s="56"/>
      <c r="R4" s="56"/>
      <c r="S4" s="56"/>
      <c r="T4" s="56"/>
      <c r="X4" s="27"/>
      <c r="AI4" s="27"/>
      <c r="AJ4" s="56"/>
      <c r="AK4" s="56"/>
      <c r="AL4" s="56"/>
      <c r="AN4" s="56"/>
      <c r="AO4" s="56"/>
      <c r="AP4" s="56"/>
    </row>
    <row r="5" spans="1:56" x14ac:dyDescent="0.2">
      <c r="A5" s="403"/>
      <c r="B5" s="56"/>
      <c r="C5" s="56"/>
      <c r="D5" s="56"/>
      <c r="E5" s="56"/>
      <c r="F5" s="56"/>
      <c r="G5" s="56"/>
      <c r="H5" s="56"/>
      <c r="I5" s="404"/>
      <c r="J5" s="56"/>
      <c r="K5" s="27"/>
      <c r="L5" s="56"/>
      <c r="M5" s="56"/>
      <c r="O5" s="56"/>
      <c r="P5" s="56"/>
      <c r="R5" s="56"/>
      <c r="S5" s="56"/>
      <c r="T5" s="56"/>
      <c r="X5" s="27"/>
      <c r="AI5" s="27"/>
      <c r="AJ5" s="56"/>
      <c r="AK5" s="56"/>
      <c r="AL5" s="56"/>
      <c r="AN5" s="56"/>
      <c r="AO5" s="56"/>
      <c r="AP5" s="56"/>
    </row>
    <row r="6" spans="1:56" x14ac:dyDescent="0.2">
      <c r="A6" s="405"/>
      <c r="C6" s="406" t="s">
        <v>22</v>
      </c>
      <c r="E6" s="32"/>
      <c r="F6" s="32"/>
      <c r="G6" s="32"/>
      <c r="H6" s="406" t="s">
        <v>22</v>
      </c>
      <c r="I6" s="407"/>
      <c r="K6" s="27"/>
      <c r="X6" s="27"/>
      <c r="AI6" s="27"/>
    </row>
    <row r="7" spans="1:56" x14ac:dyDescent="0.2">
      <c r="A7" s="405"/>
      <c r="I7" s="365"/>
      <c r="K7" s="27"/>
      <c r="X7" s="27"/>
      <c r="AI7" s="27"/>
    </row>
    <row r="8" spans="1:56" ht="15.95" customHeight="1" x14ac:dyDescent="0.2">
      <c r="A8" s="408" t="s">
        <v>66</v>
      </c>
      <c r="B8" s="50">
        <v>33.6</v>
      </c>
      <c r="C8" s="50"/>
      <c r="D8" s="50">
        <v>41.9</v>
      </c>
      <c r="F8" s="27" t="s">
        <v>47</v>
      </c>
      <c r="G8" s="50">
        <v>21.3</v>
      </c>
      <c r="H8" s="50"/>
      <c r="I8" s="409">
        <v>16.8</v>
      </c>
      <c r="J8" s="50"/>
      <c r="K8" s="27"/>
      <c r="X8" s="27"/>
      <c r="AH8" s="27"/>
      <c r="AI8" s="27"/>
    </row>
    <row r="9" spans="1:56" x14ac:dyDescent="0.2">
      <c r="A9" s="410" t="s">
        <v>67</v>
      </c>
      <c r="B9" s="50">
        <v>33.299999999999997</v>
      </c>
      <c r="C9" s="50"/>
      <c r="D9" s="50">
        <v>39.6</v>
      </c>
      <c r="F9" s="27" t="s">
        <v>68</v>
      </c>
      <c r="G9" s="50">
        <v>18.3</v>
      </c>
      <c r="H9" s="50"/>
      <c r="I9" s="409">
        <v>17.100000000000001</v>
      </c>
      <c r="J9" s="50"/>
      <c r="K9" s="27"/>
      <c r="X9" s="27"/>
      <c r="AH9" s="27"/>
      <c r="AI9" s="27"/>
    </row>
    <row r="10" spans="1:56" x14ac:dyDescent="0.2">
      <c r="A10" s="410" t="s">
        <v>69</v>
      </c>
      <c r="B10" s="50">
        <v>32.9</v>
      </c>
      <c r="C10" s="50"/>
      <c r="D10" s="50">
        <v>40.1</v>
      </c>
      <c r="F10" s="27" t="s">
        <v>66</v>
      </c>
      <c r="G10" s="50">
        <v>18.899999999999999</v>
      </c>
      <c r="H10" s="50"/>
      <c r="I10" s="409">
        <v>17.3</v>
      </c>
      <c r="J10" s="50"/>
      <c r="K10" s="27"/>
      <c r="X10" s="27"/>
      <c r="AH10" s="27"/>
      <c r="AI10" s="27"/>
    </row>
    <row r="11" spans="1:56" x14ac:dyDescent="0.2">
      <c r="A11" s="410" t="s">
        <v>70</v>
      </c>
      <c r="B11" s="411">
        <v>33.1</v>
      </c>
      <c r="C11" s="50"/>
      <c r="D11" s="411">
        <v>41.9</v>
      </c>
      <c r="F11" s="35" t="s">
        <v>67</v>
      </c>
      <c r="G11" s="50">
        <v>16.7</v>
      </c>
      <c r="H11" s="50"/>
      <c r="I11" s="409">
        <v>17.5</v>
      </c>
      <c r="J11" s="50"/>
      <c r="K11" s="27"/>
      <c r="X11" s="27"/>
      <c r="AH11" s="27"/>
      <c r="AI11" s="27"/>
    </row>
    <row r="12" spans="1:56" x14ac:dyDescent="0.2">
      <c r="A12" s="410" t="s">
        <v>71</v>
      </c>
      <c r="B12" s="411">
        <v>29.4</v>
      </c>
      <c r="C12" s="50"/>
      <c r="D12" s="411">
        <v>41.7</v>
      </c>
      <c r="F12" s="35" t="s">
        <v>69</v>
      </c>
      <c r="G12" s="50">
        <v>17.2</v>
      </c>
      <c r="H12" s="50"/>
      <c r="I12" s="409">
        <v>17.5</v>
      </c>
      <c r="J12" s="50"/>
      <c r="K12" s="27"/>
      <c r="X12" s="27"/>
      <c r="AH12" s="27"/>
      <c r="AI12" s="27"/>
    </row>
    <row r="13" spans="1:56" x14ac:dyDescent="0.2">
      <c r="A13" s="410" t="s">
        <v>72</v>
      </c>
      <c r="B13" s="411">
        <v>24.5</v>
      </c>
      <c r="D13" s="411">
        <v>40.9</v>
      </c>
      <c r="F13" s="35" t="s">
        <v>70</v>
      </c>
      <c r="G13" s="50">
        <v>18.2</v>
      </c>
      <c r="I13" s="409">
        <v>17.8</v>
      </c>
      <c r="K13" s="27"/>
      <c r="X13" s="27"/>
      <c r="AH13" s="27"/>
      <c r="AI13" s="27"/>
    </row>
    <row r="14" spans="1:56" x14ac:dyDescent="0.2">
      <c r="A14" s="410" t="s">
        <v>73</v>
      </c>
      <c r="B14" s="411">
        <v>24.9</v>
      </c>
      <c r="D14" s="411">
        <v>40.9</v>
      </c>
      <c r="F14" s="35" t="s">
        <v>71</v>
      </c>
      <c r="G14" s="50">
        <v>18.2</v>
      </c>
      <c r="I14" s="409">
        <v>18.100000000000001</v>
      </c>
      <c r="K14" s="27"/>
      <c r="X14" s="27"/>
      <c r="AH14" s="27"/>
      <c r="AI14" s="27"/>
    </row>
    <row r="15" spans="1:56" x14ac:dyDescent="0.2">
      <c r="A15" s="408" t="s">
        <v>55</v>
      </c>
      <c r="B15" s="411"/>
      <c r="D15" s="411">
        <v>41.2</v>
      </c>
      <c r="F15" s="35" t="s">
        <v>72</v>
      </c>
      <c r="G15" s="50">
        <v>17.2</v>
      </c>
      <c r="I15" s="409">
        <v>19.3</v>
      </c>
      <c r="K15" s="27"/>
      <c r="X15" s="27"/>
      <c r="AH15" s="27"/>
      <c r="AI15" s="27"/>
    </row>
    <row r="16" spans="1:56" x14ac:dyDescent="0.2">
      <c r="A16" s="410" t="s">
        <v>74</v>
      </c>
      <c r="B16" s="411"/>
      <c r="D16" s="411">
        <v>40.6</v>
      </c>
      <c r="F16" s="35" t="s">
        <v>73</v>
      </c>
      <c r="G16" s="50">
        <v>17.3</v>
      </c>
      <c r="I16" s="409">
        <v>18.100000000000001</v>
      </c>
      <c r="K16" s="27"/>
      <c r="X16" s="27"/>
      <c r="AH16" s="27"/>
      <c r="AI16" s="27"/>
    </row>
    <row r="17" spans="1:38" x14ac:dyDescent="0.2">
      <c r="A17" s="410" t="s">
        <v>63</v>
      </c>
      <c r="B17" s="411"/>
      <c r="D17" s="411">
        <v>40.700000000000003</v>
      </c>
      <c r="F17" s="27" t="s">
        <v>55</v>
      </c>
      <c r="G17" s="50"/>
      <c r="I17" s="409">
        <v>20.7</v>
      </c>
      <c r="K17" s="27"/>
      <c r="X17" s="27"/>
      <c r="AH17" s="27"/>
      <c r="AI17" s="27"/>
    </row>
    <row r="18" spans="1:38" x14ac:dyDescent="0.2">
      <c r="A18" s="408" t="s">
        <v>47</v>
      </c>
      <c r="B18" s="411"/>
      <c r="D18" s="411">
        <v>40.6</v>
      </c>
      <c r="F18" s="35" t="s">
        <v>74</v>
      </c>
      <c r="G18" s="50"/>
      <c r="I18" s="409">
        <v>20.9</v>
      </c>
      <c r="K18" s="27"/>
      <c r="X18" s="27"/>
      <c r="AH18" s="27"/>
      <c r="AI18" s="27"/>
    </row>
    <row r="19" spans="1:38" x14ac:dyDescent="0.2">
      <c r="A19" s="408" t="s">
        <v>68</v>
      </c>
      <c r="B19" s="411"/>
      <c r="D19" s="411">
        <v>40.9</v>
      </c>
      <c r="F19" s="35" t="s">
        <v>63</v>
      </c>
      <c r="G19" s="50"/>
      <c r="I19" s="409">
        <v>22.1</v>
      </c>
      <c r="K19" s="27"/>
      <c r="U19" s="27" t="s">
        <v>60</v>
      </c>
      <c r="X19" s="27"/>
      <c r="AH19" s="27"/>
      <c r="AI19" s="27"/>
    </row>
    <row r="20" spans="1:38" ht="5.0999999999999996" customHeight="1" x14ac:dyDescent="0.2">
      <c r="A20" s="408"/>
      <c r="B20" s="411"/>
      <c r="D20" s="411"/>
      <c r="F20" s="35"/>
      <c r="G20" s="50"/>
      <c r="I20" s="409"/>
      <c r="K20" s="27"/>
      <c r="U20" s="27"/>
      <c r="X20" s="27"/>
      <c r="AH20" s="27"/>
      <c r="AI20" s="27"/>
    </row>
    <row r="21" spans="1:38" ht="13.5" customHeight="1" x14ac:dyDescent="0.2">
      <c r="A21" s="412" t="s">
        <v>410</v>
      </c>
      <c r="B21" s="16">
        <f>AVERAGE(B8:B19)</f>
        <v>30.242857142857144</v>
      </c>
      <c r="G21" s="16">
        <f>AVERAGE(G8:G19)</f>
        <v>18.144444444444446</v>
      </c>
      <c r="I21" s="365"/>
      <c r="K21" s="27"/>
      <c r="X21" s="27"/>
      <c r="AI21" s="27"/>
      <c r="AJ21" s="27"/>
      <c r="AK21" s="27"/>
      <c r="AL21" s="27"/>
    </row>
    <row r="22" spans="1:38" ht="13.5" customHeight="1" x14ac:dyDescent="0.2">
      <c r="A22" s="412"/>
      <c r="I22" s="365"/>
      <c r="K22" s="27"/>
      <c r="X22" s="27"/>
      <c r="AI22" s="27"/>
      <c r="AJ22" s="27"/>
      <c r="AK22" s="27"/>
      <c r="AL22" s="27"/>
    </row>
    <row r="23" spans="1:38" x14ac:dyDescent="0.2">
      <c r="A23" s="412" t="s">
        <v>75</v>
      </c>
      <c r="I23" s="365"/>
      <c r="K23" s="27"/>
      <c r="X23" s="27"/>
      <c r="AI23" s="27"/>
      <c r="AJ23" s="27"/>
      <c r="AK23" s="27"/>
      <c r="AL23" s="27"/>
    </row>
    <row r="24" spans="1:38" x14ac:dyDescent="0.2">
      <c r="A24" s="408" t="s">
        <v>76</v>
      </c>
      <c r="B24" s="378">
        <v>29</v>
      </c>
      <c r="C24" s="32" t="s">
        <v>247</v>
      </c>
      <c r="D24" s="378">
        <v>40.9</v>
      </c>
      <c r="G24" s="394">
        <v>17.899999999999999</v>
      </c>
      <c r="H24" s="32" t="s">
        <v>247</v>
      </c>
      <c r="I24" s="413">
        <v>18.2</v>
      </c>
      <c r="K24" s="27"/>
      <c r="X24" s="27"/>
      <c r="AH24" s="27"/>
      <c r="AI24" s="27"/>
    </row>
    <row r="25" spans="1:38" ht="12.75" thickBot="1" x14ac:dyDescent="0.25">
      <c r="A25" s="414"/>
      <c r="B25" s="415"/>
      <c r="C25" s="415"/>
      <c r="D25" s="415"/>
      <c r="E25" s="415"/>
      <c r="F25" s="415"/>
      <c r="G25" s="415"/>
      <c r="H25" s="415"/>
      <c r="I25" s="416"/>
      <c r="K25" s="27"/>
      <c r="X25" s="27"/>
      <c r="AH25" s="27"/>
      <c r="AI25" s="27"/>
    </row>
    <row r="26" spans="1:38" ht="15.95" customHeight="1" x14ac:dyDescent="0.2">
      <c r="A26" s="35" t="s">
        <v>450</v>
      </c>
      <c r="K26" s="27"/>
      <c r="X26" s="27"/>
      <c r="AH26" s="27"/>
      <c r="AI26" s="27"/>
    </row>
    <row r="27" spans="1:38" ht="15.95" customHeight="1" x14ac:dyDescent="0.2">
      <c r="A27" s="35" t="s">
        <v>449</v>
      </c>
      <c r="K27" s="27"/>
      <c r="X27" s="27"/>
      <c r="AH27" s="27"/>
      <c r="AI27" s="27"/>
    </row>
    <row r="28" spans="1:38" s="28" customFormat="1" ht="15.75" customHeight="1" x14ac:dyDescent="0.2">
      <c r="A28" s="35" t="s">
        <v>453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2"/>
    </row>
    <row r="29" spans="1:38" s="28" customFormat="1" ht="12.75" customHeight="1" x14ac:dyDescent="0.2">
      <c r="A29" s="35" t="s">
        <v>471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2"/>
    </row>
    <row r="30" spans="1:38" s="28" customFormat="1" ht="12.75" customHeight="1" x14ac:dyDescent="0.2">
      <c r="A30" s="35" t="s">
        <v>432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2"/>
    </row>
    <row r="31" spans="1:38" s="28" customFormat="1" ht="15" customHeight="1" x14ac:dyDescent="0.2">
      <c r="A31" s="27" t="s">
        <v>464</v>
      </c>
      <c r="B31" s="36"/>
      <c r="C31" s="36"/>
      <c r="D31" s="16"/>
      <c r="E31" s="16"/>
      <c r="F31" s="16"/>
      <c r="G31" s="16"/>
      <c r="H31" s="16"/>
      <c r="I31" s="16"/>
      <c r="J31" s="16"/>
      <c r="K31" s="16"/>
      <c r="L31" s="36"/>
      <c r="P31" s="63"/>
      <c r="AH31" s="62"/>
    </row>
    <row r="32" spans="1:38" s="28" customFormat="1" ht="12" customHeight="1" x14ac:dyDescent="0.2">
      <c r="A32" s="6" t="s">
        <v>483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2"/>
    </row>
    <row r="33" spans="34:34" x14ac:dyDescent="0.2">
      <c r="AH33" s="2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5" transitionEvaluation="1" codeName="Sheet6">
    <pageSetUpPr fitToPage="1"/>
  </sheetPr>
  <dimension ref="A1:AW28"/>
  <sheetViews>
    <sheetView showGridLines="0" topLeftCell="A5" zoomScale="120" zoomScaleNormal="120" workbookViewId="0">
      <selection activeCell="E22" sqref="E22"/>
    </sheetView>
  </sheetViews>
  <sheetFormatPr defaultColWidth="7.625" defaultRowHeight="12" x14ac:dyDescent="0.2"/>
  <cols>
    <col min="1" max="1" width="19.625" style="16" customWidth="1"/>
    <col min="2" max="2" width="11.875" style="16" customWidth="1"/>
    <col min="3" max="3" width="10.625" style="16" customWidth="1"/>
    <col min="4" max="4" width="4" style="16" customWidth="1"/>
    <col min="5" max="5" width="11.625" style="16" customWidth="1"/>
    <col min="6" max="6" width="10.125" style="16" customWidth="1"/>
    <col min="7" max="7" width="4" style="16" customWidth="1"/>
    <col min="8" max="8" width="11.375" style="16" customWidth="1"/>
    <col min="9" max="9" width="11.625" style="16" customWidth="1"/>
    <col min="10" max="10" width="2.375" style="16" customWidth="1"/>
    <col min="11" max="12" width="7.375" style="16" customWidth="1"/>
    <col min="13" max="13" width="8.375" style="16" customWidth="1"/>
    <col min="14" max="14" width="2.625" style="16" customWidth="1"/>
    <col min="15" max="27" width="7.625" style="16" customWidth="1"/>
    <col min="28" max="28" width="3.625" style="16" customWidth="1"/>
    <col min="29" max="31" width="7.625" style="16" customWidth="1"/>
    <col min="32" max="32" width="1.625" style="16" customWidth="1"/>
    <col min="33" max="255" width="7.625" style="16" customWidth="1"/>
    <col min="256" max="256" width="7.625" style="16"/>
    <col min="257" max="257" width="15.875" style="16" customWidth="1"/>
    <col min="258" max="258" width="11" style="16" customWidth="1"/>
    <col min="259" max="259" width="9.625" style="16" customWidth="1"/>
    <col min="260" max="260" width="3.625" style="16" customWidth="1"/>
    <col min="261" max="261" width="10.625" style="16" customWidth="1"/>
    <col min="262" max="262" width="9.125" style="16" customWidth="1"/>
    <col min="263" max="263" width="4" style="16" customWidth="1"/>
    <col min="264" max="264" width="9.875" style="16" customWidth="1"/>
    <col min="265" max="265" width="9.375" style="16" customWidth="1"/>
    <col min="266" max="266" width="7.625" style="16" customWidth="1"/>
    <col min="267" max="268" width="7.375" style="16" customWidth="1"/>
    <col min="269" max="269" width="8.375" style="16" customWidth="1"/>
    <col min="270" max="270" width="2.625" style="16" customWidth="1"/>
    <col min="271" max="283" width="7.625" style="16" customWidth="1"/>
    <col min="284" max="284" width="3.625" style="16" customWidth="1"/>
    <col min="285" max="287" width="7.625" style="16" customWidth="1"/>
    <col min="288" max="288" width="1.625" style="16" customWidth="1"/>
    <col min="289" max="511" width="7.625" style="16" customWidth="1"/>
    <col min="512" max="512" width="7.625" style="16"/>
    <col min="513" max="513" width="15.875" style="16" customWidth="1"/>
    <col min="514" max="514" width="11" style="16" customWidth="1"/>
    <col min="515" max="515" width="9.625" style="16" customWidth="1"/>
    <col min="516" max="516" width="3.625" style="16" customWidth="1"/>
    <col min="517" max="517" width="10.625" style="16" customWidth="1"/>
    <col min="518" max="518" width="9.125" style="16" customWidth="1"/>
    <col min="519" max="519" width="4" style="16" customWidth="1"/>
    <col min="520" max="520" width="9.875" style="16" customWidth="1"/>
    <col min="521" max="521" width="9.375" style="16" customWidth="1"/>
    <col min="522" max="522" width="7.625" style="16" customWidth="1"/>
    <col min="523" max="524" width="7.375" style="16" customWidth="1"/>
    <col min="525" max="525" width="8.375" style="16" customWidth="1"/>
    <col min="526" max="526" width="2.625" style="16" customWidth="1"/>
    <col min="527" max="539" width="7.625" style="16" customWidth="1"/>
    <col min="540" max="540" width="3.625" style="16" customWidth="1"/>
    <col min="541" max="543" width="7.625" style="16" customWidth="1"/>
    <col min="544" max="544" width="1.625" style="16" customWidth="1"/>
    <col min="545" max="767" width="7.625" style="16" customWidth="1"/>
    <col min="768" max="768" width="7.625" style="16"/>
    <col min="769" max="769" width="15.875" style="16" customWidth="1"/>
    <col min="770" max="770" width="11" style="16" customWidth="1"/>
    <col min="771" max="771" width="9.625" style="16" customWidth="1"/>
    <col min="772" max="772" width="3.625" style="16" customWidth="1"/>
    <col min="773" max="773" width="10.625" style="16" customWidth="1"/>
    <col min="774" max="774" width="9.125" style="16" customWidth="1"/>
    <col min="775" max="775" width="4" style="16" customWidth="1"/>
    <col min="776" max="776" width="9.875" style="16" customWidth="1"/>
    <col min="777" max="777" width="9.375" style="16" customWidth="1"/>
    <col min="778" max="778" width="7.625" style="16" customWidth="1"/>
    <col min="779" max="780" width="7.375" style="16" customWidth="1"/>
    <col min="781" max="781" width="8.375" style="16" customWidth="1"/>
    <col min="782" max="782" width="2.625" style="16" customWidth="1"/>
    <col min="783" max="795" width="7.625" style="16" customWidth="1"/>
    <col min="796" max="796" width="3.625" style="16" customWidth="1"/>
    <col min="797" max="799" width="7.625" style="16" customWidth="1"/>
    <col min="800" max="800" width="1.625" style="16" customWidth="1"/>
    <col min="801" max="1023" width="7.625" style="16" customWidth="1"/>
    <col min="1024" max="1024" width="7.625" style="16"/>
    <col min="1025" max="1025" width="15.875" style="16" customWidth="1"/>
    <col min="1026" max="1026" width="11" style="16" customWidth="1"/>
    <col min="1027" max="1027" width="9.625" style="16" customWidth="1"/>
    <col min="1028" max="1028" width="3.625" style="16" customWidth="1"/>
    <col min="1029" max="1029" width="10.625" style="16" customWidth="1"/>
    <col min="1030" max="1030" width="9.125" style="16" customWidth="1"/>
    <col min="1031" max="1031" width="4" style="16" customWidth="1"/>
    <col min="1032" max="1032" width="9.875" style="16" customWidth="1"/>
    <col min="1033" max="1033" width="9.375" style="16" customWidth="1"/>
    <col min="1034" max="1034" width="7.625" style="16" customWidth="1"/>
    <col min="1035" max="1036" width="7.375" style="16" customWidth="1"/>
    <col min="1037" max="1037" width="8.375" style="16" customWidth="1"/>
    <col min="1038" max="1038" width="2.625" style="16" customWidth="1"/>
    <col min="1039" max="1051" width="7.625" style="16" customWidth="1"/>
    <col min="1052" max="1052" width="3.625" style="16" customWidth="1"/>
    <col min="1053" max="1055" width="7.625" style="16" customWidth="1"/>
    <col min="1056" max="1056" width="1.625" style="16" customWidth="1"/>
    <col min="1057" max="1279" width="7.625" style="16" customWidth="1"/>
    <col min="1280" max="1280" width="7.625" style="16"/>
    <col min="1281" max="1281" width="15.875" style="16" customWidth="1"/>
    <col min="1282" max="1282" width="11" style="16" customWidth="1"/>
    <col min="1283" max="1283" width="9.625" style="16" customWidth="1"/>
    <col min="1284" max="1284" width="3.625" style="16" customWidth="1"/>
    <col min="1285" max="1285" width="10.625" style="16" customWidth="1"/>
    <col min="1286" max="1286" width="9.125" style="16" customWidth="1"/>
    <col min="1287" max="1287" width="4" style="16" customWidth="1"/>
    <col min="1288" max="1288" width="9.875" style="16" customWidth="1"/>
    <col min="1289" max="1289" width="9.375" style="16" customWidth="1"/>
    <col min="1290" max="1290" width="7.625" style="16" customWidth="1"/>
    <col min="1291" max="1292" width="7.375" style="16" customWidth="1"/>
    <col min="1293" max="1293" width="8.375" style="16" customWidth="1"/>
    <col min="1294" max="1294" width="2.625" style="16" customWidth="1"/>
    <col min="1295" max="1307" width="7.625" style="16" customWidth="1"/>
    <col min="1308" max="1308" width="3.625" style="16" customWidth="1"/>
    <col min="1309" max="1311" width="7.625" style="16" customWidth="1"/>
    <col min="1312" max="1312" width="1.625" style="16" customWidth="1"/>
    <col min="1313" max="1535" width="7.625" style="16" customWidth="1"/>
    <col min="1536" max="1536" width="7.625" style="16"/>
    <col min="1537" max="1537" width="15.875" style="16" customWidth="1"/>
    <col min="1538" max="1538" width="11" style="16" customWidth="1"/>
    <col min="1539" max="1539" width="9.625" style="16" customWidth="1"/>
    <col min="1540" max="1540" width="3.625" style="16" customWidth="1"/>
    <col min="1541" max="1541" width="10.625" style="16" customWidth="1"/>
    <col min="1542" max="1542" width="9.125" style="16" customWidth="1"/>
    <col min="1543" max="1543" width="4" style="16" customWidth="1"/>
    <col min="1544" max="1544" width="9.875" style="16" customWidth="1"/>
    <col min="1545" max="1545" width="9.375" style="16" customWidth="1"/>
    <col min="1546" max="1546" width="7.625" style="16" customWidth="1"/>
    <col min="1547" max="1548" width="7.375" style="16" customWidth="1"/>
    <col min="1549" max="1549" width="8.375" style="16" customWidth="1"/>
    <col min="1550" max="1550" width="2.625" style="16" customWidth="1"/>
    <col min="1551" max="1563" width="7.625" style="16" customWidth="1"/>
    <col min="1564" max="1564" width="3.625" style="16" customWidth="1"/>
    <col min="1565" max="1567" width="7.625" style="16" customWidth="1"/>
    <col min="1568" max="1568" width="1.625" style="16" customWidth="1"/>
    <col min="1569" max="1791" width="7.625" style="16" customWidth="1"/>
    <col min="1792" max="1792" width="7.625" style="16"/>
    <col min="1793" max="1793" width="15.875" style="16" customWidth="1"/>
    <col min="1794" max="1794" width="11" style="16" customWidth="1"/>
    <col min="1795" max="1795" width="9.625" style="16" customWidth="1"/>
    <col min="1796" max="1796" width="3.625" style="16" customWidth="1"/>
    <col min="1797" max="1797" width="10.625" style="16" customWidth="1"/>
    <col min="1798" max="1798" width="9.125" style="16" customWidth="1"/>
    <col min="1799" max="1799" width="4" style="16" customWidth="1"/>
    <col min="1800" max="1800" width="9.875" style="16" customWidth="1"/>
    <col min="1801" max="1801" width="9.375" style="16" customWidth="1"/>
    <col min="1802" max="1802" width="7.625" style="16" customWidth="1"/>
    <col min="1803" max="1804" width="7.375" style="16" customWidth="1"/>
    <col min="1805" max="1805" width="8.375" style="16" customWidth="1"/>
    <col min="1806" max="1806" width="2.625" style="16" customWidth="1"/>
    <col min="1807" max="1819" width="7.625" style="16" customWidth="1"/>
    <col min="1820" max="1820" width="3.625" style="16" customWidth="1"/>
    <col min="1821" max="1823" width="7.625" style="16" customWidth="1"/>
    <col min="1824" max="1824" width="1.625" style="16" customWidth="1"/>
    <col min="1825" max="2047" width="7.625" style="16" customWidth="1"/>
    <col min="2048" max="2048" width="7.625" style="16"/>
    <col min="2049" max="2049" width="15.875" style="16" customWidth="1"/>
    <col min="2050" max="2050" width="11" style="16" customWidth="1"/>
    <col min="2051" max="2051" width="9.625" style="16" customWidth="1"/>
    <col min="2052" max="2052" width="3.625" style="16" customWidth="1"/>
    <col min="2053" max="2053" width="10.625" style="16" customWidth="1"/>
    <col min="2054" max="2054" width="9.125" style="16" customWidth="1"/>
    <col min="2055" max="2055" width="4" style="16" customWidth="1"/>
    <col min="2056" max="2056" width="9.875" style="16" customWidth="1"/>
    <col min="2057" max="2057" width="9.375" style="16" customWidth="1"/>
    <col min="2058" max="2058" width="7.625" style="16" customWidth="1"/>
    <col min="2059" max="2060" width="7.375" style="16" customWidth="1"/>
    <col min="2061" max="2061" width="8.375" style="16" customWidth="1"/>
    <col min="2062" max="2062" width="2.625" style="16" customWidth="1"/>
    <col min="2063" max="2075" width="7.625" style="16" customWidth="1"/>
    <col min="2076" max="2076" width="3.625" style="16" customWidth="1"/>
    <col min="2077" max="2079" width="7.625" style="16" customWidth="1"/>
    <col min="2080" max="2080" width="1.625" style="16" customWidth="1"/>
    <col min="2081" max="2303" width="7.625" style="16" customWidth="1"/>
    <col min="2304" max="2304" width="7.625" style="16"/>
    <col min="2305" max="2305" width="15.875" style="16" customWidth="1"/>
    <col min="2306" max="2306" width="11" style="16" customWidth="1"/>
    <col min="2307" max="2307" width="9.625" style="16" customWidth="1"/>
    <col min="2308" max="2308" width="3.625" style="16" customWidth="1"/>
    <col min="2309" max="2309" width="10.625" style="16" customWidth="1"/>
    <col min="2310" max="2310" width="9.125" style="16" customWidth="1"/>
    <col min="2311" max="2311" width="4" style="16" customWidth="1"/>
    <col min="2312" max="2312" width="9.875" style="16" customWidth="1"/>
    <col min="2313" max="2313" width="9.375" style="16" customWidth="1"/>
    <col min="2314" max="2314" width="7.625" style="16" customWidth="1"/>
    <col min="2315" max="2316" width="7.375" style="16" customWidth="1"/>
    <col min="2317" max="2317" width="8.375" style="16" customWidth="1"/>
    <col min="2318" max="2318" width="2.625" style="16" customWidth="1"/>
    <col min="2319" max="2331" width="7.625" style="16" customWidth="1"/>
    <col min="2332" max="2332" width="3.625" style="16" customWidth="1"/>
    <col min="2333" max="2335" width="7.625" style="16" customWidth="1"/>
    <col min="2336" max="2336" width="1.625" style="16" customWidth="1"/>
    <col min="2337" max="2559" width="7.625" style="16" customWidth="1"/>
    <col min="2560" max="2560" width="7.625" style="16"/>
    <col min="2561" max="2561" width="15.875" style="16" customWidth="1"/>
    <col min="2562" max="2562" width="11" style="16" customWidth="1"/>
    <col min="2563" max="2563" width="9.625" style="16" customWidth="1"/>
    <col min="2564" max="2564" width="3.625" style="16" customWidth="1"/>
    <col min="2565" max="2565" width="10.625" style="16" customWidth="1"/>
    <col min="2566" max="2566" width="9.125" style="16" customWidth="1"/>
    <col min="2567" max="2567" width="4" style="16" customWidth="1"/>
    <col min="2568" max="2568" width="9.875" style="16" customWidth="1"/>
    <col min="2569" max="2569" width="9.375" style="16" customWidth="1"/>
    <col min="2570" max="2570" width="7.625" style="16" customWidth="1"/>
    <col min="2571" max="2572" width="7.375" style="16" customWidth="1"/>
    <col min="2573" max="2573" width="8.375" style="16" customWidth="1"/>
    <col min="2574" max="2574" width="2.625" style="16" customWidth="1"/>
    <col min="2575" max="2587" width="7.625" style="16" customWidth="1"/>
    <col min="2588" max="2588" width="3.625" style="16" customWidth="1"/>
    <col min="2589" max="2591" width="7.625" style="16" customWidth="1"/>
    <col min="2592" max="2592" width="1.625" style="16" customWidth="1"/>
    <col min="2593" max="2815" width="7.625" style="16" customWidth="1"/>
    <col min="2816" max="2816" width="7.625" style="16"/>
    <col min="2817" max="2817" width="15.875" style="16" customWidth="1"/>
    <col min="2818" max="2818" width="11" style="16" customWidth="1"/>
    <col min="2819" max="2819" width="9.625" style="16" customWidth="1"/>
    <col min="2820" max="2820" width="3.625" style="16" customWidth="1"/>
    <col min="2821" max="2821" width="10.625" style="16" customWidth="1"/>
    <col min="2822" max="2822" width="9.125" style="16" customWidth="1"/>
    <col min="2823" max="2823" width="4" style="16" customWidth="1"/>
    <col min="2824" max="2824" width="9.875" style="16" customWidth="1"/>
    <col min="2825" max="2825" width="9.375" style="16" customWidth="1"/>
    <col min="2826" max="2826" width="7.625" style="16" customWidth="1"/>
    <col min="2827" max="2828" width="7.375" style="16" customWidth="1"/>
    <col min="2829" max="2829" width="8.375" style="16" customWidth="1"/>
    <col min="2830" max="2830" width="2.625" style="16" customWidth="1"/>
    <col min="2831" max="2843" width="7.625" style="16" customWidth="1"/>
    <col min="2844" max="2844" width="3.625" style="16" customWidth="1"/>
    <col min="2845" max="2847" width="7.625" style="16" customWidth="1"/>
    <col min="2848" max="2848" width="1.625" style="16" customWidth="1"/>
    <col min="2849" max="3071" width="7.625" style="16" customWidth="1"/>
    <col min="3072" max="3072" width="7.625" style="16"/>
    <col min="3073" max="3073" width="15.875" style="16" customWidth="1"/>
    <col min="3074" max="3074" width="11" style="16" customWidth="1"/>
    <col min="3075" max="3075" width="9.625" style="16" customWidth="1"/>
    <col min="3076" max="3076" width="3.625" style="16" customWidth="1"/>
    <col min="3077" max="3077" width="10.625" style="16" customWidth="1"/>
    <col min="3078" max="3078" width="9.125" style="16" customWidth="1"/>
    <col min="3079" max="3079" width="4" style="16" customWidth="1"/>
    <col min="3080" max="3080" width="9.875" style="16" customWidth="1"/>
    <col min="3081" max="3081" width="9.375" style="16" customWidth="1"/>
    <col min="3082" max="3082" width="7.625" style="16" customWidth="1"/>
    <col min="3083" max="3084" width="7.375" style="16" customWidth="1"/>
    <col min="3085" max="3085" width="8.375" style="16" customWidth="1"/>
    <col min="3086" max="3086" width="2.625" style="16" customWidth="1"/>
    <col min="3087" max="3099" width="7.625" style="16" customWidth="1"/>
    <col min="3100" max="3100" width="3.625" style="16" customWidth="1"/>
    <col min="3101" max="3103" width="7.625" style="16" customWidth="1"/>
    <col min="3104" max="3104" width="1.625" style="16" customWidth="1"/>
    <col min="3105" max="3327" width="7.625" style="16" customWidth="1"/>
    <col min="3328" max="3328" width="7.625" style="16"/>
    <col min="3329" max="3329" width="15.875" style="16" customWidth="1"/>
    <col min="3330" max="3330" width="11" style="16" customWidth="1"/>
    <col min="3331" max="3331" width="9.625" style="16" customWidth="1"/>
    <col min="3332" max="3332" width="3.625" style="16" customWidth="1"/>
    <col min="3333" max="3333" width="10.625" style="16" customWidth="1"/>
    <col min="3334" max="3334" width="9.125" style="16" customWidth="1"/>
    <col min="3335" max="3335" width="4" style="16" customWidth="1"/>
    <col min="3336" max="3336" width="9.875" style="16" customWidth="1"/>
    <col min="3337" max="3337" width="9.375" style="16" customWidth="1"/>
    <col min="3338" max="3338" width="7.625" style="16" customWidth="1"/>
    <col min="3339" max="3340" width="7.375" style="16" customWidth="1"/>
    <col min="3341" max="3341" width="8.375" style="16" customWidth="1"/>
    <col min="3342" max="3342" width="2.625" style="16" customWidth="1"/>
    <col min="3343" max="3355" width="7.625" style="16" customWidth="1"/>
    <col min="3356" max="3356" width="3.625" style="16" customWidth="1"/>
    <col min="3357" max="3359" width="7.625" style="16" customWidth="1"/>
    <col min="3360" max="3360" width="1.625" style="16" customWidth="1"/>
    <col min="3361" max="3583" width="7.625" style="16" customWidth="1"/>
    <col min="3584" max="3584" width="7.625" style="16"/>
    <col min="3585" max="3585" width="15.875" style="16" customWidth="1"/>
    <col min="3586" max="3586" width="11" style="16" customWidth="1"/>
    <col min="3587" max="3587" width="9.625" style="16" customWidth="1"/>
    <col min="3588" max="3588" width="3.625" style="16" customWidth="1"/>
    <col min="3589" max="3589" width="10.625" style="16" customWidth="1"/>
    <col min="3590" max="3590" width="9.125" style="16" customWidth="1"/>
    <col min="3591" max="3591" width="4" style="16" customWidth="1"/>
    <col min="3592" max="3592" width="9.875" style="16" customWidth="1"/>
    <col min="3593" max="3593" width="9.375" style="16" customWidth="1"/>
    <col min="3594" max="3594" width="7.625" style="16" customWidth="1"/>
    <col min="3595" max="3596" width="7.375" style="16" customWidth="1"/>
    <col min="3597" max="3597" width="8.375" style="16" customWidth="1"/>
    <col min="3598" max="3598" width="2.625" style="16" customWidth="1"/>
    <col min="3599" max="3611" width="7.625" style="16" customWidth="1"/>
    <col min="3612" max="3612" width="3.625" style="16" customWidth="1"/>
    <col min="3613" max="3615" width="7.625" style="16" customWidth="1"/>
    <col min="3616" max="3616" width="1.625" style="16" customWidth="1"/>
    <col min="3617" max="3839" width="7.625" style="16" customWidth="1"/>
    <col min="3840" max="3840" width="7.625" style="16"/>
    <col min="3841" max="3841" width="15.875" style="16" customWidth="1"/>
    <col min="3842" max="3842" width="11" style="16" customWidth="1"/>
    <col min="3843" max="3843" width="9.625" style="16" customWidth="1"/>
    <col min="3844" max="3844" width="3.625" style="16" customWidth="1"/>
    <col min="3845" max="3845" width="10.625" style="16" customWidth="1"/>
    <col min="3846" max="3846" width="9.125" style="16" customWidth="1"/>
    <col min="3847" max="3847" width="4" style="16" customWidth="1"/>
    <col min="3848" max="3848" width="9.875" style="16" customWidth="1"/>
    <col min="3849" max="3849" width="9.375" style="16" customWidth="1"/>
    <col min="3850" max="3850" width="7.625" style="16" customWidth="1"/>
    <col min="3851" max="3852" width="7.375" style="16" customWidth="1"/>
    <col min="3853" max="3853" width="8.375" style="16" customWidth="1"/>
    <col min="3854" max="3854" width="2.625" style="16" customWidth="1"/>
    <col min="3855" max="3867" width="7.625" style="16" customWidth="1"/>
    <col min="3868" max="3868" width="3.625" style="16" customWidth="1"/>
    <col min="3869" max="3871" width="7.625" style="16" customWidth="1"/>
    <col min="3872" max="3872" width="1.625" style="16" customWidth="1"/>
    <col min="3873" max="4095" width="7.625" style="16" customWidth="1"/>
    <col min="4096" max="4096" width="7.625" style="16"/>
    <col min="4097" max="4097" width="15.875" style="16" customWidth="1"/>
    <col min="4098" max="4098" width="11" style="16" customWidth="1"/>
    <col min="4099" max="4099" width="9.625" style="16" customWidth="1"/>
    <col min="4100" max="4100" width="3.625" style="16" customWidth="1"/>
    <col min="4101" max="4101" width="10.625" style="16" customWidth="1"/>
    <col min="4102" max="4102" width="9.125" style="16" customWidth="1"/>
    <col min="4103" max="4103" width="4" style="16" customWidth="1"/>
    <col min="4104" max="4104" width="9.875" style="16" customWidth="1"/>
    <col min="4105" max="4105" width="9.375" style="16" customWidth="1"/>
    <col min="4106" max="4106" width="7.625" style="16" customWidth="1"/>
    <col min="4107" max="4108" width="7.375" style="16" customWidth="1"/>
    <col min="4109" max="4109" width="8.375" style="16" customWidth="1"/>
    <col min="4110" max="4110" width="2.625" style="16" customWidth="1"/>
    <col min="4111" max="4123" width="7.625" style="16" customWidth="1"/>
    <col min="4124" max="4124" width="3.625" style="16" customWidth="1"/>
    <col min="4125" max="4127" width="7.625" style="16" customWidth="1"/>
    <col min="4128" max="4128" width="1.625" style="16" customWidth="1"/>
    <col min="4129" max="4351" width="7.625" style="16" customWidth="1"/>
    <col min="4352" max="4352" width="7.625" style="16"/>
    <col min="4353" max="4353" width="15.875" style="16" customWidth="1"/>
    <col min="4354" max="4354" width="11" style="16" customWidth="1"/>
    <col min="4355" max="4355" width="9.625" style="16" customWidth="1"/>
    <col min="4356" max="4356" width="3.625" style="16" customWidth="1"/>
    <col min="4357" max="4357" width="10.625" style="16" customWidth="1"/>
    <col min="4358" max="4358" width="9.125" style="16" customWidth="1"/>
    <col min="4359" max="4359" width="4" style="16" customWidth="1"/>
    <col min="4360" max="4360" width="9.875" style="16" customWidth="1"/>
    <col min="4361" max="4361" width="9.375" style="16" customWidth="1"/>
    <col min="4362" max="4362" width="7.625" style="16" customWidth="1"/>
    <col min="4363" max="4364" width="7.375" style="16" customWidth="1"/>
    <col min="4365" max="4365" width="8.375" style="16" customWidth="1"/>
    <col min="4366" max="4366" width="2.625" style="16" customWidth="1"/>
    <col min="4367" max="4379" width="7.625" style="16" customWidth="1"/>
    <col min="4380" max="4380" width="3.625" style="16" customWidth="1"/>
    <col min="4381" max="4383" width="7.625" style="16" customWidth="1"/>
    <col min="4384" max="4384" width="1.625" style="16" customWidth="1"/>
    <col min="4385" max="4607" width="7.625" style="16" customWidth="1"/>
    <col min="4608" max="4608" width="7.625" style="16"/>
    <col min="4609" max="4609" width="15.875" style="16" customWidth="1"/>
    <col min="4610" max="4610" width="11" style="16" customWidth="1"/>
    <col min="4611" max="4611" width="9.625" style="16" customWidth="1"/>
    <col min="4612" max="4612" width="3.625" style="16" customWidth="1"/>
    <col min="4613" max="4613" width="10.625" style="16" customWidth="1"/>
    <col min="4614" max="4614" width="9.125" style="16" customWidth="1"/>
    <col min="4615" max="4615" width="4" style="16" customWidth="1"/>
    <col min="4616" max="4616" width="9.875" style="16" customWidth="1"/>
    <col min="4617" max="4617" width="9.375" style="16" customWidth="1"/>
    <col min="4618" max="4618" width="7.625" style="16" customWidth="1"/>
    <col min="4619" max="4620" width="7.375" style="16" customWidth="1"/>
    <col min="4621" max="4621" width="8.375" style="16" customWidth="1"/>
    <col min="4622" max="4622" width="2.625" style="16" customWidth="1"/>
    <col min="4623" max="4635" width="7.625" style="16" customWidth="1"/>
    <col min="4636" max="4636" width="3.625" style="16" customWidth="1"/>
    <col min="4637" max="4639" width="7.625" style="16" customWidth="1"/>
    <col min="4640" max="4640" width="1.625" style="16" customWidth="1"/>
    <col min="4641" max="4863" width="7.625" style="16" customWidth="1"/>
    <col min="4864" max="4864" width="7.625" style="16"/>
    <col min="4865" max="4865" width="15.875" style="16" customWidth="1"/>
    <col min="4866" max="4866" width="11" style="16" customWidth="1"/>
    <col min="4867" max="4867" width="9.625" style="16" customWidth="1"/>
    <col min="4868" max="4868" width="3.625" style="16" customWidth="1"/>
    <col min="4869" max="4869" width="10.625" style="16" customWidth="1"/>
    <col min="4870" max="4870" width="9.125" style="16" customWidth="1"/>
    <col min="4871" max="4871" width="4" style="16" customWidth="1"/>
    <col min="4872" max="4872" width="9.875" style="16" customWidth="1"/>
    <col min="4873" max="4873" width="9.375" style="16" customWidth="1"/>
    <col min="4874" max="4874" width="7.625" style="16" customWidth="1"/>
    <col min="4875" max="4876" width="7.375" style="16" customWidth="1"/>
    <col min="4877" max="4877" width="8.375" style="16" customWidth="1"/>
    <col min="4878" max="4878" width="2.625" style="16" customWidth="1"/>
    <col min="4879" max="4891" width="7.625" style="16" customWidth="1"/>
    <col min="4892" max="4892" width="3.625" style="16" customWidth="1"/>
    <col min="4893" max="4895" width="7.625" style="16" customWidth="1"/>
    <col min="4896" max="4896" width="1.625" style="16" customWidth="1"/>
    <col min="4897" max="5119" width="7.625" style="16" customWidth="1"/>
    <col min="5120" max="5120" width="7.625" style="16"/>
    <col min="5121" max="5121" width="15.875" style="16" customWidth="1"/>
    <col min="5122" max="5122" width="11" style="16" customWidth="1"/>
    <col min="5123" max="5123" width="9.625" style="16" customWidth="1"/>
    <col min="5124" max="5124" width="3.625" style="16" customWidth="1"/>
    <col min="5125" max="5125" width="10.625" style="16" customWidth="1"/>
    <col min="5126" max="5126" width="9.125" style="16" customWidth="1"/>
    <col min="5127" max="5127" width="4" style="16" customWidth="1"/>
    <col min="5128" max="5128" width="9.875" style="16" customWidth="1"/>
    <col min="5129" max="5129" width="9.375" style="16" customWidth="1"/>
    <col min="5130" max="5130" width="7.625" style="16" customWidth="1"/>
    <col min="5131" max="5132" width="7.375" style="16" customWidth="1"/>
    <col min="5133" max="5133" width="8.375" style="16" customWidth="1"/>
    <col min="5134" max="5134" width="2.625" style="16" customWidth="1"/>
    <col min="5135" max="5147" width="7.625" style="16" customWidth="1"/>
    <col min="5148" max="5148" width="3.625" style="16" customWidth="1"/>
    <col min="5149" max="5151" width="7.625" style="16" customWidth="1"/>
    <col min="5152" max="5152" width="1.625" style="16" customWidth="1"/>
    <col min="5153" max="5375" width="7.625" style="16" customWidth="1"/>
    <col min="5376" max="5376" width="7.625" style="16"/>
    <col min="5377" max="5377" width="15.875" style="16" customWidth="1"/>
    <col min="5378" max="5378" width="11" style="16" customWidth="1"/>
    <col min="5379" max="5379" width="9.625" style="16" customWidth="1"/>
    <col min="5380" max="5380" width="3.625" style="16" customWidth="1"/>
    <col min="5381" max="5381" width="10.625" style="16" customWidth="1"/>
    <col min="5382" max="5382" width="9.125" style="16" customWidth="1"/>
    <col min="5383" max="5383" width="4" style="16" customWidth="1"/>
    <col min="5384" max="5384" width="9.875" style="16" customWidth="1"/>
    <col min="5385" max="5385" width="9.375" style="16" customWidth="1"/>
    <col min="5386" max="5386" width="7.625" style="16" customWidth="1"/>
    <col min="5387" max="5388" width="7.375" style="16" customWidth="1"/>
    <col min="5389" max="5389" width="8.375" style="16" customWidth="1"/>
    <col min="5390" max="5390" width="2.625" style="16" customWidth="1"/>
    <col min="5391" max="5403" width="7.625" style="16" customWidth="1"/>
    <col min="5404" max="5404" width="3.625" style="16" customWidth="1"/>
    <col min="5405" max="5407" width="7.625" style="16" customWidth="1"/>
    <col min="5408" max="5408" width="1.625" style="16" customWidth="1"/>
    <col min="5409" max="5631" width="7.625" style="16" customWidth="1"/>
    <col min="5632" max="5632" width="7.625" style="16"/>
    <col min="5633" max="5633" width="15.875" style="16" customWidth="1"/>
    <col min="5634" max="5634" width="11" style="16" customWidth="1"/>
    <col min="5635" max="5635" width="9.625" style="16" customWidth="1"/>
    <col min="5636" max="5636" width="3.625" style="16" customWidth="1"/>
    <col min="5637" max="5637" width="10.625" style="16" customWidth="1"/>
    <col min="5638" max="5638" width="9.125" style="16" customWidth="1"/>
    <col min="5639" max="5639" width="4" style="16" customWidth="1"/>
    <col min="5640" max="5640" width="9.875" style="16" customWidth="1"/>
    <col min="5641" max="5641" width="9.375" style="16" customWidth="1"/>
    <col min="5642" max="5642" width="7.625" style="16" customWidth="1"/>
    <col min="5643" max="5644" width="7.375" style="16" customWidth="1"/>
    <col min="5645" max="5645" width="8.375" style="16" customWidth="1"/>
    <col min="5646" max="5646" width="2.625" style="16" customWidth="1"/>
    <col min="5647" max="5659" width="7.625" style="16" customWidth="1"/>
    <col min="5660" max="5660" width="3.625" style="16" customWidth="1"/>
    <col min="5661" max="5663" width="7.625" style="16" customWidth="1"/>
    <col min="5664" max="5664" width="1.625" style="16" customWidth="1"/>
    <col min="5665" max="5887" width="7.625" style="16" customWidth="1"/>
    <col min="5888" max="5888" width="7.625" style="16"/>
    <col min="5889" max="5889" width="15.875" style="16" customWidth="1"/>
    <col min="5890" max="5890" width="11" style="16" customWidth="1"/>
    <col min="5891" max="5891" width="9.625" style="16" customWidth="1"/>
    <col min="5892" max="5892" width="3.625" style="16" customWidth="1"/>
    <col min="5893" max="5893" width="10.625" style="16" customWidth="1"/>
    <col min="5894" max="5894" width="9.125" style="16" customWidth="1"/>
    <col min="5895" max="5895" width="4" style="16" customWidth="1"/>
    <col min="5896" max="5896" width="9.875" style="16" customWidth="1"/>
    <col min="5897" max="5897" width="9.375" style="16" customWidth="1"/>
    <col min="5898" max="5898" width="7.625" style="16" customWidth="1"/>
    <col min="5899" max="5900" width="7.375" style="16" customWidth="1"/>
    <col min="5901" max="5901" width="8.375" style="16" customWidth="1"/>
    <col min="5902" max="5902" width="2.625" style="16" customWidth="1"/>
    <col min="5903" max="5915" width="7.625" style="16" customWidth="1"/>
    <col min="5916" max="5916" width="3.625" style="16" customWidth="1"/>
    <col min="5917" max="5919" width="7.625" style="16" customWidth="1"/>
    <col min="5920" max="5920" width="1.625" style="16" customWidth="1"/>
    <col min="5921" max="6143" width="7.625" style="16" customWidth="1"/>
    <col min="6144" max="6144" width="7.625" style="16"/>
    <col min="6145" max="6145" width="15.875" style="16" customWidth="1"/>
    <col min="6146" max="6146" width="11" style="16" customWidth="1"/>
    <col min="6147" max="6147" width="9.625" style="16" customWidth="1"/>
    <col min="6148" max="6148" width="3.625" style="16" customWidth="1"/>
    <col min="6149" max="6149" width="10.625" style="16" customWidth="1"/>
    <col min="6150" max="6150" width="9.125" style="16" customWidth="1"/>
    <col min="6151" max="6151" width="4" style="16" customWidth="1"/>
    <col min="6152" max="6152" width="9.875" style="16" customWidth="1"/>
    <col min="6153" max="6153" width="9.375" style="16" customWidth="1"/>
    <col min="6154" max="6154" width="7.625" style="16" customWidth="1"/>
    <col min="6155" max="6156" width="7.375" style="16" customWidth="1"/>
    <col min="6157" max="6157" width="8.375" style="16" customWidth="1"/>
    <col min="6158" max="6158" width="2.625" style="16" customWidth="1"/>
    <col min="6159" max="6171" width="7.625" style="16" customWidth="1"/>
    <col min="6172" max="6172" width="3.625" style="16" customWidth="1"/>
    <col min="6173" max="6175" width="7.625" style="16" customWidth="1"/>
    <col min="6176" max="6176" width="1.625" style="16" customWidth="1"/>
    <col min="6177" max="6399" width="7.625" style="16" customWidth="1"/>
    <col min="6400" max="6400" width="7.625" style="16"/>
    <col min="6401" max="6401" width="15.875" style="16" customWidth="1"/>
    <col min="6402" max="6402" width="11" style="16" customWidth="1"/>
    <col min="6403" max="6403" width="9.625" style="16" customWidth="1"/>
    <col min="6404" max="6404" width="3.625" style="16" customWidth="1"/>
    <col min="6405" max="6405" width="10.625" style="16" customWidth="1"/>
    <col min="6406" max="6406" width="9.125" style="16" customWidth="1"/>
    <col min="6407" max="6407" width="4" style="16" customWidth="1"/>
    <col min="6408" max="6408" width="9.875" style="16" customWidth="1"/>
    <col min="6409" max="6409" width="9.375" style="16" customWidth="1"/>
    <col min="6410" max="6410" width="7.625" style="16" customWidth="1"/>
    <col min="6411" max="6412" width="7.375" style="16" customWidth="1"/>
    <col min="6413" max="6413" width="8.375" style="16" customWidth="1"/>
    <col min="6414" max="6414" width="2.625" style="16" customWidth="1"/>
    <col min="6415" max="6427" width="7.625" style="16" customWidth="1"/>
    <col min="6428" max="6428" width="3.625" style="16" customWidth="1"/>
    <col min="6429" max="6431" width="7.625" style="16" customWidth="1"/>
    <col min="6432" max="6432" width="1.625" style="16" customWidth="1"/>
    <col min="6433" max="6655" width="7.625" style="16" customWidth="1"/>
    <col min="6656" max="6656" width="7.625" style="16"/>
    <col min="6657" max="6657" width="15.875" style="16" customWidth="1"/>
    <col min="6658" max="6658" width="11" style="16" customWidth="1"/>
    <col min="6659" max="6659" width="9.625" style="16" customWidth="1"/>
    <col min="6660" max="6660" width="3.625" style="16" customWidth="1"/>
    <col min="6661" max="6661" width="10.625" style="16" customWidth="1"/>
    <col min="6662" max="6662" width="9.125" style="16" customWidth="1"/>
    <col min="6663" max="6663" width="4" style="16" customWidth="1"/>
    <col min="6664" max="6664" width="9.875" style="16" customWidth="1"/>
    <col min="6665" max="6665" width="9.375" style="16" customWidth="1"/>
    <col min="6666" max="6666" width="7.625" style="16" customWidth="1"/>
    <col min="6667" max="6668" width="7.375" style="16" customWidth="1"/>
    <col min="6669" max="6669" width="8.375" style="16" customWidth="1"/>
    <col min="6670" max="6670" width="2.625" style="16" customWidth="1"/>
    <col min="6671" max="6683" width="7.625" style="16" customWidth="1"/>
    <col min="6684" max="6684" width="3.625" style="16" customWidth="1"/>
    <col min="6685" max="6687" width="7.625" style="16" customWidth="1"/>
    <col min="6688" max="6688" width="1.625" style="16" customWidth="1"/>
    <col min="6689" max="6911" width="7.625" style="16" customWidth="1"/>
    <col min="6912" max="6912" width="7.625" style="16"/>
    <col min="6913" max="6913" width="15.875" style="16" customWidth="1"/>
    <col min="6914" max="6914" width="11" style="16" customWidth="1"/>
    <col min="6915" max="6915" width="9.625" style="16" customWidth="1"/>
    <col min="6916" max="6916" width="3.625" style="16" customWidth="1"/>
    <col min="6917" max="6917" width="10.625" style="16" customWidth="1"/>
    <col min="6918" max="6918" width="9.125" style="16" customWidth="1"/>
    <col min="6919" max="6919" width="4" style="16" customWidth="1"/>
    <col min="6920" max="6920" width="9.875" style="16" customWidth="1"/>
    <col min="6921" max="6921" width="9.375" style="16" customWidth="1"/>
    <col min="6922" max="6922" width="7.625" style="16" customWidth="1"/>
    <col min="6923" max="6924" width="7.375" style="16" customWidth="1"/>
    <col min="6925" max="6925" width="8.375" style="16" customWidth="1"/>
    <col min="6926" max="6926" width="2.625" style="16" customWidth="1"/>
    <col min="6927" max="6939" width="7.625" style="16" customWidth="1"/>
    <col min="6940" max="6940" width="3.625" style="16" customWidth="1"/>
    <col min="6941" max="6943" width="7.625" style="16" customWidth="1"/>
    <col min="6944" max="6944" width="1.625" style="16" customWidth="1"/>
    <col min="6945" max="7167" width="7.625" style="16" customWidth="1"/>
    <col min="7168" max="7168" width="7.625" style="16"/>
    <col min="7169" max="7169" width="15.875" style="16" customWidth="1"/>
    <col min="7170" max="7170" width="11" style="16" customWidth="1"/>
    <col min="7171" max="7171" width="9.625" style="16" customWidth="1"/>
    <col min="7172" max="7172" width="3.625" style="16" customWidth="1"/>
    <col min="7173" max="7173" width="10.625" style="16" customWidth="1"/>
    <col min="7174" max="7174" width="9.125" style="16" customWidth="1"/>
    <col min="7175" max="7175" width="4" style="16" customWidth="1"/>
    <col min="7176" max="7176" width="9.875" style="16" customWidth="1"/>
    <col min="7177" max="7177" width="9.375" style="16" customWidth="1"/>
    <col min="7178" max="7178" width="7.625" style="16" customWidth="1"/>
    <col min="7179" max="7180" width="7.375" style="16" customWidth="1"/>
    <col min="7181" max="7181" width="8.375" style="16" customWidth="1"/>
    <col min="7182" max="7182" width="2.625" style="16" customWidth="1"/>
    <col min="7183" max="7195" width="7.625" style="16" customWidth="1"/>
    <col min="7196" max="7196" width="3.625" style="16" customWidth="1"/>
    <col min="7197" max="7199" width="7.625" style="16" customWidth="1"/>
    <col min="7200" max="7200" width="1.625" style="16" customWidth="1"/>
    <col min="7201" max="7423" width="7.625" style="16" customWidth="1"/>
    <col min="7424" max="7424" width="7.625" style="16"/>
    <col min="7425" max="7425" width="15.875" style="16" customWidth="1"/>
    <col min="7426" max="7426" width="11" style="16" customWidth="1"/>
    <col min="7427" max="7427" width="9.625" style="16" customWidth="1"/>
    <col min="7428" max="7428" width="3.625" style="16" customWidth="1"/>
    <col min="7429" max="7429" width="10.625" style="16" customWidth="1"/>
    <col min="7430" max="7430" width="9.125" style="16" customWidth="1"/>
    <col min="7431" max="7431" width="4" style="16" customWidth="1"/>
    <col min="7432" max="7432" width="9.875" style="16" customWidth="1"/>
    <col min="7433" max="7433" width="9.375" style="16" customWidth="1"/>
    <col min="7434" max="7434" width="7.625" style="16" customWidth="1"/>
    <col min="7435" max="7436" width="7.375" style="16" customWidth="1"/>
    <col min="7437" max="7437" width="8.375" style="16" customWidth="1"/>
    <col min="7438" max="7438" width="2.625" style="16" customWidth="1"/>
    <col min="7439" max="7451" width="7.625" style="16" customWidth="1"/>
    <col min="7452" max="7452" width="3.625" style="16" customWidth="1"/>
    <col min="7453" max="7455" width="7.625" style="16" customWidth="1"/>
    <col min="7456" max="7456" width="1.625" style="16" customWidth="1"/>
    <col min="7457" max="7679" width="7.625" style="16" customWidth="1"/>
    <col min="7680" max="7680" width="7.625" style="16"/>
    <col min="7681" max="7681" width="15.875" style="16" customWidth="1"/>
    <col min="7682" max="7682" width="11" style="16" customWidth="1"/>
    <col min="7683" max="7683" width="9.625" style="16" customWidth="1"/>
    <col min="7684" max="7684" width="3.625" style="16" customWidth="1"/>
    <col min="7685" max="7685" width="10.625" style="16" customWidth="1"/>
    <col min="7686" max="7686" width="9.125" style="16" customWidth="1"/>
    <col min="7687" max="7687" width="4" style="16" customWidth="1"/>
    <col min="7688" max="7688" width="9.875" style="16" customWidth="1"/>
    <col min="7689" max="7689" width="9.375" style="16" customWidth="1"/>
    <col min="7690" max="7690" width="7.625" style="16" customWidth="1"/>
    <col min="7691" max="7692" width="7.375" style="16" customWidth="1"/>
    <col min="7693" max="7693" width="8.375" style="16" customWidth="1"/>
    <col min="7694" max="7694" width="2.625" style="16" customWidth="1"/>
    <col min="7695" max="7707" width="7.625" style="16" customWidth="1"/>
    <col min="7708" max="7708" width="3.625" style="16" customWidth="1"/>
    <col min="7709" max="7711" width="7.625" style="16" customWidth="1"/>
    <col min="7712" max="7712" width="1.625" style="16" customWidth="1"/>
    <col min="7713" max="7935" width="7.625" style="16" customWidth="1"/>
    <col min="7936" max="7936" width="7.625" style="16"/>
    <col min="7937" max="7937" width="15.875" style="16" customWidth="1"/>
    <col min="7938" max="7938" width="11" style="16" customWidth="1"/>
    <col min="7939" max="7939" width="9.625" style="16" customWidth="1"/>
    <col min="7940" max="7940" width="3.625" style="16" customWidth="1"/>
    <col min="7941" max="7941" width="10.625" style="16" customWidth="1"/>
    <col min="7942" max="7942" width="9.125" style="16" customWidth="1"/>
    <col min="7943" max="7943" width="4" style="16" customWidth="1"/>
    <col min="7944" max="7944" width="9.875" style="16" customWidth="1"/>
    <col min="7945" max="7945" width="9.375" style="16" customWidth="1"/>
    <col min="7946" max="7946" width="7.625" style="16" customWidth="1"/>
    <col min="7947" max="7948" width="7.375" style="16" customWidth="1"/>
    <col min="7949" max="7949" width="8.375" style="16" customWidth="1"/>
    <col min="7950" max="7950" width="2.625" style="16" customWidth="1"/>
    <col min="7951" max="7963" width="7.625" style="16" customWidth="1"/>
    <col min="7964" max="7964" width="3.625" style="16" customWidth="1"/>
    <col min="7965" max="7967" width="7.625" style="16" customWidth="1"/>
    <col min="7968" max="7968" width="1.625" style="16" customWidth="1"/>
    <col min="7969" max="8191" width="7.625" style="16" customWidth="1"/>
    <col min="8192" max="8192" width="7.625" style="16"/>
    <col min="8193" max="8193" width="15.875" style="16" customWidth="1"/>
    <col min="8194" max="8194" width="11" style="16" customWidth="1"/>
    <col min="8195" max="8195" width="9.625" style="16" customWidth="1"/>
    <col min="8196" max="8196" width="3.625" style="16" customWidth="1"/>
    <col min="8197" max="8197" width="10.625" style="16" customWidth="1"/>
    <col min="8198" max="8198" width="9.125" style="16" customWidth="1"/>
    <col min="8199" max="8199" width="4" style="16" customWidth="1"/>
    <col min="8200" max="8200" width="9.875" style="16" customWidth="1"/>
    <col min="8201" max="8201" width="9.375" style="16" customWidth="1"/>
    <col min="8202" max="8202" width="7.625" style="16" customWidth="1"/>
    <col min="8203" max="8204" width="7.375" style="16" customWidth="1"/>
    <col min="8205" max="8205" width="8.375" style="16" customWidth="1"/>
    <col min="8206" max="8206" width="2.625" style="16" customWidth="1"/>
    <col min="8207" max="8219" width="7.625" style="16" customWidth="1"/>
    <col min="8220" max="8220" width="3.625" style="16" customWidth="1"/>
    <col min="8221" max="8223" width="7.625" style="16" customWidth="1"/>
    <col min="8224" max="8224" width="1.625" style="16" customWidth="1"/>
    <col min="8225" max="8447" width="7.625" style="16" customWidth="1"/>
    <col min="8448" max="8448" width="7.625" style="16"/>
    <col min="8449" max="8449" width="15.875" style="16" customWidth="1"/>
    <col min="8450" max="8450" width="11" style="16" customWidth="1"/>
    <col min="8451" max="8451" width="9.625" style="16" customWidth="1"/>
    <col min="8452" max="8452" width="3.625" style="16" customWidth="1"/>
    <col min="8453" max="8453" width="10.625" style="16" customWidth="1"/>
    <col min="8454" max="8454" width="9.125" style="16" customWidth="1"/>
    <col min="8455" max="8455" width="4" style="16" customWidth="1"/>
    <col min="8456" max="8456" width="9.875" style="16" customWidth="1"/>
    <col min="8457" max="8457" width="9.375" style="16" customWidth="1"/>
    <col min="8458" max="8458" width="7.625" style="16" customWidth="1"/>
    <col min="8459" max="8460" width="7.375" style="16" customWidth="1"/>
    <col min="8461" max="8461" width="8.375" style="16" customWidth="1"/>
    <col min="8462" max="8462" width="2.625" style="16" customWidth="1"/>
    <col min="8463" max="8475" width="7.625" style="16" customWidth="1"/>
    <col min="8476" max="8476" width="3.625" style="16" customWidth="1"/>
    <col min="8477" max="8479" width="7.625" style="16" customWidth="1"/>
    <col min="8480" max="8480" width="1.625" style="16" customWidth="1"/>
    <col min="8481" max="8703" width="7.625" style="16" customWidth="1"/>
    <col min="8704" max="8704" width="7.625" style="16"/>
    <col min="8705" max="8705" width="15.875" style="16" customWidth="1"/>
    <col min="8706" max="8706" width="11" style="16" customWidth="1"/>
    <col min="8707" max="8707" width="9.625" style="16" customWidth="1"/>
    <col min="8708" max="8708" width="3.625" style="16" customWidth="1"/>
    <col min="8709" max="8709" width="10.625" style="16" customWidth="1"/>
    <col min="8710" max="8710" width="9.125" style="16" customWidth="1"/>
    <col min="8711" max="8711" width="4" style="16" customWidth="1"/>
    <col min="8712" max="8712" width="9.875" style="16" customWidth="1"/>
    <col min="8713" max="8713" width="9.375" style="16" customWidth="1"/>
    <col min="8714" max="8714" width="7.625" style="16" customWidth="1"/>
    <col min="8715" max="8716" width="7.375" style="16" customWidth="1"/>
    <col min="8717" max="8717" width="8.375" style="16" customWidth="1"/>
    <col min="8718" max="8718" width="2.625" style="16" customWidth="1"/>
    <col min="8719" max="8731" width="7.625" style="16" customWidth="1"/>
    <col min="8732" max="8732" width="3.625" style="16" customWidth="1"/>
    <col min="8733" max="8735" width="7.625" style="16" customWidth="1"/>
    <col min="8736" max="8736" width="1.625" style="16" customWidth="1"/>
    <col min="8737" max="8959" width="7.625" style="16" customWidth="1"/>
    <col min="8960" max="8960" width="7.625" style="16"/>
    <col min="8961" max="8961" width="15.875" style="16" customWidth="1"/>
    <col min="8962" max="8962" width="11" style="16" customWidth="1"/>
    <col min="8963" max="8963" width="9.625" style="16" customWidth="1"/>
    <col min="8964" max="8964" width="3.625" style="16" customWidth="1"/>
    <col min="8965" max="8965" width="10.625" style="16" customWidth="1"/>
    <col min="8966" max="8966" width="9.125" style="16" customWidth="1"/>
    <col min="8967" max="8967" width="4" style="16" customWidth="1"/>
    <col min="8968" max="8968" width="9.875" style="16" customWidth="1"/>
    <col min="8969" max="8969" width="9.375" style="16" customWidth="1"/>
    <col min="8970" max="8970" width="7.625" style="16" customWidth="1"/>
    <col min="8971" max="8972" width="7.375" style="16" customWidth="1"/>
    <col min="8973" max="8973" width="8.375" style="16" customWidth="1"/>
    <col min="8974" max="8974" width="2.625" style="16" customWidth="1"/>
    <col min="8975" max="8987" width="7.625" style="16" customWidth="1"/>
    <col min="8988" max="8988" width="3.625" style="16" customWidth="1"/>
    <col min="8989" max="8991" width="7.625" style="16" customWidth="1"/>
    <col min="8992" max="8992" width="1.625" style="16" customWidth="1"/>
    <col min="8993" max="9215" width="7.625" style="16" customWidth="1"/>
    <col min="9216" max="9216" width="7.625" style="16"/>
    <col min="9217" max="9217" width="15.875" style="16" customWidth="1"/>
    <col min="9218" max="9218" width="11" style="16" customWidth="1"/>
    <col min="9219" max="9219" width="9.625" style="16" customWidth="1"/>
    <col min="9220" max="9220" width="3.625" style="16" customWidth="1"/>
    <col min="9221" max="9221" width="10.625" style="16" customWidth="1"/>
    <col min="9222" max="9222" width="9.125" style="16" customWidth="1"/>
    <col min="9223" max="9223" width="4" style="16" customWidth="1"/>
    <col min="9224" max="9224" width="9.875" style="16" customWidth="1"/>
    <col min="9225" max="9225" width="9.375" style="16" customWidth="1"/>
    <col min="9226" max="9226" width="7.625" style="16" customWidth="1"/>
    <col min="9227" max="9228" width="7.375" style="16" customWidth="1"/>
    <col min="9229" max="9229" width="8.375" style="16" customWidth="1"/>
    <col min="9230" max="9230" width="2.625" style="16" customWidth="1"/>
    <col min="9231" max="9243" width="7.625" style="16" customWidth="1"/>
    <col min="9244" max="9244" width="3.625" style="16" customWidth="1"/>
    <col min="9245" max="9247" width="7.625" style="16" customWidth="1"/>
    <col min="9248" max="9248" width="1.625" style="16" customWidth="1"/>
    <col min="9249" max="9471" width="7.625" style="16" customWidth="1"/>
    <col min="9472" max="9472" width="7.625" style="16"/>
    <col min="9473" max="9473" width="15.875" style="16" customWidth="1"/>
    <col min="9474" max="9474" width="11" style="16" customWidth="1"/>
    <col min="9475" max="9475" width="9.625" style="16" customWidth="1"/>
    <col min="9476" max="9476" width="3.625" style="16" customWidth="1"/>
    <col min="9477" max="9477" width="10.625" style="16" customWidth="1"/>
    <col min="9478" max="9478" width="9.125" style="16" customWidth="1"/>
    <col min="9479" max="9479" width="4" style="16" customWidth="1"/>
    <col min="9480" max="9480" width="9.875" style="16" customWidth="1"/>
    <col min="9481" max="9481" width="9.375" style="16" customWidth="1"/>
    <col min="9482" max="9482" width="7.625" style="16" customWidth="1"/>
    <col min="9483" max="9484" width="7.375" style="16" customWidth="1"/>
    <col min="9485" max="9485" width="8.375" style="16" customWidth="1"/>
    <col min="9486" max="9486" width="2.625" style="16" customWidth="1"/>
    <col min="9487" max="9499" width="7.625" style="16" customWidth="1"/>
    <col min="9500" max="9500" width="3.625" style="16" customWidth="1"/>
    <col min="9501" max="9503" width="7.625" style="16" customWidth="1"/>
    <col min="9504" max="9504" width="1.625" style="16" customWidth="1"/>
    <col min="9505" max="9727" width="7.625" style="16" customWidth="1"/>
    <col min="9728" max="9728" width="7.625" style="16"/>
    <col min="9729" max="9729" width="15.875" style="16" customWidth="1"/>
    <col min="9730" max="9730" width="11" style="16" customWidth="1"/>
    <col min="9731" max="9731" width="9.625" style="16" customWidth="1"/>
    <col min="9732" max="9732" width="3.625" style="16" customWidth="1"/>
    <col min="9733" max="9733" width="10.625" style="16" customWidth="1"/>
    <col min="9734" max="9734" width="9.125" style="16" customWidth="1"/>
    <col min="9735" max="9735" width="4" style="16" customWidth="1"/>
    <col min="9736" max="9736" width="9.875" style="16" customWidth="1"/>
    <col min="9737" max="9737" width="9.375" style="16" customWidth="1"/>
    <col min="9738" max="9738" width="7.625" style="16" customWidth="1"/>
    <col min="9739" max="9740" width="7.375" style="16" customWidth="1"/>
    <col min="9741" max="9741" width="8.375" style="16" customWidth="1"/>
    <col min="9742" max="9742" width="2.625" style="16" customWidth="1"/>
    <col min="9743" max="9755" width="7.625" style="16" customWidth="1"/>
    <col min="9756" max="9756" width="3.625" style="16" customWidth="1"/>
    <col min="9757" max="9759" width="7.625" style="16" customWidth="1"/>
    <col min="9760" max="9760" width="1.625" style="16" customWidth="1"/>
    <col min="9761" max="9983" width="7.625" style="16" customWidth="1"/>
    <col min="9984" max="9984" width="7.625" style="16"/>
    <col min="9985" max="9985" width="15.875" style="16" customWidth="1"/>
    <col min="9986" max="9986" width="11" style="16" customWidth="1"/>
    <col min="9987" max="9987" width="9.625" style="16" customWidth="1"/>
    <col min="9988" max="9988" width="3.625" style="16" customWidth="1"/>
    <col min="9989" max="9989" width="10.625" style="16" customWidth="1"/>
    <col min="9990" max="9990" width="9.125" style="16" customWidth="1"/>
    <col min="9991" max="9991" width="4" style="16" customWidth="1"/>
    <col min="9992" max="9992" width="9.875" style="16" customWidth="1"/>
    <col min="9993" max="9993" width="9.375" style="16" customWidth="1"/>
    <col min="9994" max="9994" width="7.625" style="16" customWidth="1"/>
    <col min="9995" max="9996" width="7.375" style="16" customWidth="1"/>
    <col min="9997" max="9997" width="8.375" style="16" customWidth="1"/>
    <col min="9998" max="9998" width="2.625" style="16" customWidth="1"/>
    <col min="9999" max="10011" width="7.625" style="16" customWidth="1"/>
    <col min="10012" max="10012" width="3.625" style="16" customWidth="1"/>
    <col min="10013" max="10015" width="7.625" style="16" customWidth="1"/>
    <col min="10016" max="10016" width="1.625" style="16" customWidth="1"/>
    <col min="10017" max="10239" width="7.625" style="16" customWidth="1"/>
    <col min="10240" max="10240" width="7.625" style="16"/>
    <col min="10241" max="10241" width="15.875" style="16" customWidth="1"/>
    <col min="10242" max="10242" width="11" style="16" customWidth="1"/>
    <col min="10243" max="10243" width="9.625" style="16" customWidth="1"/>
    <col min="10244" max="10244" width="3.625" style="16" customWidth="1"/>
    <col min="10245" max="10245" width="10.625" style="16" customWidth="1"/>
    <col min="10246" max="10246" width="9.125" style="16" customWidth="1"/>
    <col min="10247" max="10247" width="4" style="16" customWidth="1"/>
    <col min="10248" max="10248" width="9.875" style="16" customWidth="1"/>
    <col min="10249" max="10249" width="9.375" style="16" customWidth="1"/>
    <col min="10250" max="10250" width="7.625" style="16" customWidth="1"/>
    <col min="10251" max="10252" width="7.375" style="16" customWidth="1"/>
    <col min="10253" max="10253" width="8.375" style="16" customWidth="1"/>
    <col min="10254" max="10254" width="2.625" style="16" customWidth="1"/>
    <col min="10255" max="10267" width="7.625" style="16" customWidth="1"/>
    <col min="10268" max="10268" width="3.625" style="16" customWidth="1"/>
    <col min="10269" max="10271" width="7.625" style="16" customWidth="1"/>
    <col min="10272" max="10272" width="1.625" style="16" customWidth="1"/>
    <col min="10273" max="10495" width="7.625" style="16" customWidth="1"/>
    <col min="10496" max="10496" width="7.625" style="16"/>
    <col min="10497" max="10497" width="15.875" style="16" customWidth="1"/>
    <col min="10498" max="10498" width="11" style="16" customWidth="1"/>
    <col min="10499" max="10499" width="9.625" style="16" customWidth="1"/>
    <col min="10500" max="10500" width="3.625" style="16" customWidth="1"/>
    <col min="10501" max="10501" width="10.625" style="16" customWidth="1"/>
    <col min="10502" max="10502" width="9.125" style="16" customWidth="1"/>
    <col min="10503" max="10503" width="4" style="16" customWidth="1"/>
    <col min="10504" max="10504" width="9.875" style="16" customWidth="1"/>
    <col min="10505" max="10505" width="9.375" style="16" customWidth="1"/>
    <col min="10506" max="10506" width="7.625" style="16" customWidth="1"/>
    <col min="10507" max="10508" width="7.375" style="16" customWidth="1"/>
    <col min="10509" max="10509" width="8.375" style="16" customWidth="1"/>
    <col min="10510" max="10510" width="2.625" style="16" customWidth="1"/>
    <col min="10511" max="10523" width="7.625" style="16" customWidth="1"/>
    <col min="10524" max="10524" width="3.625" style="16" customWidth="1"/>
    <col min="10525" max="10527" width="7.625" style="16" customWidth="1"/>
    <col min="10528" max="10528" width="1.625" style="16" customWidth="1"/>
    <col min="10529" max="10751" width="7.625" style="16" customWidth="1"/>
    <col min="10752" max="10752" width="7.625" style="16"/>
    <col min="10753" max="10753" width="15.875" style="16" customWidth="1"/>
    <col min="10754" max="10754" width="11" style="16" customWidth="1"/>
    <col min="10755" max="10755" width="9.625" style="16" customWidth="1"/>
    <col min="10756" max="10756" width="3.625" style="16" customWidth="1"/>
    <col min="10757" max="10757" width="10.625" style="16" customWidth="1"/>
    <col min="10758" max="10758" width="9.125" style="16" customWidth="1"/>
    <col min="10759" max="10759" width="4" style="16" customWidth="1"/>
    <col min="10760" max="10760" width="9.875" style="16" customWidth="1"/>
    <col min="10761" max="10761" width="9.375" style="16" customWidth="1"/>
    <col min="10762" max="10762" width="7.625" style="16" customWidth="1"/>
    <col min="10763" max="10764" width="7.375" style="16" customWidth="1"/>
    <col min="10765" max="10765" width="8.375" style="16" customWidth="1"/>
    <col min="10766" max="10766" width="2.625" style="16" customWidth="1"/>
    <col min="10767" max="10779" width="7.625" style="16" customWidth="1"/>
    <col min="10780" max="10780" width="3.625" style="16" customWidth="1"/>
    <col min="10781" max="10783" width="7.625" style="16" customWidth="1"/>
    <col min="10784" max="10784" width="1.625" style="16" customWidth="1"/>
    <col min="10785" max="11007" width="7.625" style="16" customWidth="1"/>
    <col min="11008" max="11008" width="7.625" style="16"/>
    <col min="11009" max="11009" width="15.875" style="16" customWidth="1"/>
    <col min="11010" max="11010" width="11" style="16" customWidth="1"/>
    <col min="11011" max="11011" width="9.625" style="16" customWidth="1"/>
    <col min="11012" max="11012" width="3.625" style="16" customWidth="1"/>
    <col min="11013" max="11013" width="10.625" style="16" customWidth="1"/>
    <col min="11014" max="11014" width="9.125" style="16" customWidth="1"/>
    <col min="11015" max="11015" width="4" style="16" customWidth="1"/>
    <col min="11016" max="11016" width="9.875" style="16" customWidth="1"/>
    <col min="11017" max="11017" width="9.375" style="16" customWidth="1"/>
    <col min="11018" max="11018" width="7.625" style="16" customWidth="1"/>
    <col min="11019" max="11020" width="7.375" style="16" customWidth="1"/>
    <col min="11021" max="11021" width="8.375" style="16" customWidth="1"/>
    <col min="11022" max="11022" width="2.625" style="16" customWidth="1"/>
    <col min="11023" max="11035" width="7.625" style="16" customWidth="1"/>
    <col min="11036" max="11036" width="3.625" style="16" customWidth="1"/>
    <col min="11037" max="11039" width="7.625" style="16" customWidth="1"/>
    <col min="11040" max="11040" width="1.625" style="16" customWidth="1"/>
    <col min="11041" max="11263" width="7.625" style="16" customWidth="1"/>
    <col min="11264" max="11264" width="7.625" style="16"/>
    <col min="11265" max="11265" width="15.875" style="16" customWidth="1"/>
    <col min="11266" max="11266" width="11" style="16" customWidth="1"/>
    <col min="11267" max="11267" width="9.625" style="16" customWidth="1"/>
    <col min="11268" max="11268" width="3.625" style="16" customWidth="1"/>
    <col min="11269" max="11269" width="10.625" style="16" customWidth="1"/>
    <col min="11270" max="11270" width="9.125" style="16" customWidth="1"/>
    <col min="11271" max="11271" width="4" style="16" customWidth="1"/>
    <col min="11272" max="11272" width="9.875" style="16" customWidth="1"/>
    <col min="11273" max="11273" width="9.375" style="16" customWidth="1"/>
    <col min="11274" max="11274" width="7.625" style="16" customWidth="1"/>
    <col min="11275" max="11276" width="7.375" style="16" customWidth="1"/>
    <col min="11277" max="11277" width="8.375" style="16" customWidth="1"/>
    <col min="11278" max="11278" width="2.625" style="16" customWidth="1"/>
    <col min="11279" max="11291" width="7.625" style="16" customWidth="1"/>
    <col min="11292" max="11292" width="3.625" style="16" customWidth="1"/>
    <col min="11293" max="11295" width="7.625" style="16" customWidth="1"/>
    <col min="11296" max="11296" width="1.625" style="16" customWidth="1"/>
    <col min="11297" max="11519" width="7.625" style="16" customWidth="1"/>
    <col min="11520" max="11520" width="7.625" style="16"/>
    <col min="11521" max="11521" width="15.875" style="16" customWidth="1"/>
    <col min="11522" max="11522" width="11" style="16" customWidth="1"/>
    <col min="11523" max="11523" width="9.625" style="16" customWidth="1"/>
    <col min="11524" max="11524" width="3.625" style="16" customWidth="1"/>
    <col min="11525" max="11525" width="10.625" style="16" customWidth="1"/>
    <col min="11526" max="11526" width="9.125" style="16" customWidth="1"/>
    <col min="11527" max="11527" width="4" style="16" customWidth="1"/>
    <col min="11528" max="11528" width="9.875" style="16" customWidth="1"/>
    <col min="11529" max="11529" width="9.375" style="16" customWidth="1"/>
    <col min="11530" max="11530" width="7.625" style="16" customWidth="1"/>
    <col min="11531" max="11532" width="7.375" style="16" customWidth="1"/>
    <col min="11533" max="11533" width="8.375" style="16" customWidth="1"/>
    <col min="11534" max="11534" width="2.625" style="16" customWidth="1"/>
    <col min="11535" max="11547" width="7.625" style="16" customWidth="1"/>
    <col min="11548" max="11548" width="3.625" style="16" customWidth="1"/>
    <col min="11549" max="11551" width="7.625" style="16" customWidth="1"/>
    <col min="11552" max="11552" width="1.625" style="16" customWidth="1"/>
    <col min="11553" max="11775" width="7.625" style="16" customWidth="1"/>
    <col min="11776" max="11776" width="7.625" style="16"/>
    <col min="11777" max="11777" width="15.875" style="16" customWidth="1"/>
    <col min="11778" max="11778" width="11" style="16" customWidth="1"/>
    <col min="11779" max="11779" width="9.625" style="16" customWidth="1"/>
    <col min="11780" max="11780" width="3.625" style="16" customWidth="1"/>
    <col min="11781" max="11781" width="10.625" style="16" customWidth="1"/>
    <col min="11782" max="11782" width="9.125" style="16" customWidth="1"/>
    <col min="11783" max="11783" width="4" style="16" customWidth="1"/>
    <col min="11784" max="11784" width="9.875" style="16" customWidth="1"/>
    <col min="11785" max="11785" width="9.375" style="16" customWidth="1"/>
    <col min="11786" max="11786" width="7.625" style="16" customWidth="1"/>
    <col min="11787" max="11788" width="7.375" style="16" customWidth="1"/>
    <col min="11789" max="11789" width="8.375" style="16" customWidth="1"/>
    <col min="11790" max="11790" width="2.625" style="16" customWidth="1"/>
    <col min="11791" max="11803" width="7.625" style="16" customWidth="1"/>
    <col min="11804" max="11804" width="3.625" style="16" customWidth="1"/>
    <col min="11805" max="11807" width="7.625" style="16" customWidth="1"/>
    <col min="11808" max="11808" width="1.625" style="16" customWidth="1"/>
    <col min="11809" max="12031" width="7.625" style="16" customWidth="1"/>
    <col min="12032" max="12032" width="7.625" style="16"/>
    <col min="12033" max="12033" width="15.875" style="16" customWidth="1"/>
    <col min="12034" max="12034" width="11" style="16" customWidth="1"/>
    <col min="12035" max="12035" width="9.625" style="16" customWidth="1"/>
    <col min="12036" max="12036" width="3.625" style="16" customWidth="1"/>
    <col min="12037" max="12037" width="10.625" style="16" customWidth="1"/>
    <col min="12038" max="12038" width="9.125" style="16" customWidth="1"/>
    <col min="12039" max="12039" width="4" style="16" customWidth="1"/>
    <col min="12040" max="12040" width="9.875" style="16" customWidth="1"/>
    <col min="12041" max="12041" width="9.375" style="16" customWidth="1"/>
    <col min="12042" max="12042" width="7.625" style="16" customWidth="1"/>
    <col min="12043" max="12044" width="7.375" style="16" customWidth="1"/>
    <col min="12045" max="12045" width="8.375" style="16" customWidth="1"/>
    <col min="12046" max="12046" width="2.625" style="16" customWidth="1"/>
    <col min="12047" max="12059" width="7.625" style="16" customWidth="1"/>
    <col min="12060" max="12060" width="3.625" style="16" customWidth="1"/>
    <col min="12061" max="12063" width="7.625" style="16" customWidth="1"/>
    <col min="12064" max="12064" width="1.625" style="16" customWidth="1"/>
    <col min="12065" max="12287" width="7.625" style="16" customWidth="1"/>
    <col min="12288" max="12288" width="7.625" style="16"/>
    <col min="12289" max="12289" width="15.875" style="16" customWidth="1"/>
    <col min="12290" max="12290" width="11" style="16" customWidth="1"/>
    <col min="12291" max="12291" width="9.625" style="16" customWidth="1"/>
    <col min="12292" max="12292" width="3.625" style="16" customWidth="1"/>
    <col min="12293" max="12293" width="10.625" style="16" customWidth="1"/>
    <col min="12294" max="12294" width="9.125" style="16" customWidth="1"/>
    <col min="12295" max="12295" width="4" style="16" customWidth="1"/>
    <col min="12296" max="12296" width="9.875" style="16" customWidth="1"/>
    <col min="12297" max="12297" width="9.375" style="16" customWidth="1"/>
    <col min="12298" max="12298" width="7.625" style="16" customWidth="1"/>
    <col min="12299" max="12300" width="7.375" style="16" customWidth="1"/>
    <col min="12301" max="12301" width="8.375" style="16" customWidth="1"/>
    <col min="12302" max="12302" width="2.625" style="16" customWidth="1"/>
    <col min="12303" max="12315" width="7.625" style="16" customWidth="1"/>
    <col min="12316" max="12316" width="3.625" style="16" customWidth="1"/>
    <col min="12317" max="12319" width="7.625" style="16" customWidth="1"/>
    <col min="12320" max="12320" width="1.625" style="16" customWidth="1"/>
    <col min="12321" max="12543" width="7.625" style="16" customWidth="1"/>
    <col min="12544" max="12544" width="7.625" style="16"/>
    <col min="12545" max="12545" width="15.875" style="16" customWidth="1"/>
    <col min="12546" max="12546" width="11" style="16" customWidth="1"/>
    <col min="12547" max="12547" width="9.625" style="16" customWidth="1"/>
    <col min="12548" max="12548" width="3.625" style="16" customWidth="1"/>
    <col min="12549" max="12549" width="10.625" style="16" customWidth="1"/>
    <col min="12550" max="12550" width="9.125" style="16" customWidth="1"/>
    <col min="12551" max="12551" width="4" style="16" customWidth="1"/>
    <col min="12552" max="12552" width="9.875" style="16" customWidth="1"/>
    <col min="12553" max="12553" width="9.375" style="16" customWidth="1"/>
    <col min="12554" max="12554" width="7.625" style="16" customWidth="1"/>
    <col min="12555" max="12556" width="7.375" style="16" customWidth="1"/>
    <col min="12557" max="12557" width="8.375" style="16" customWidth="1"/>
    <col min="12558" max="12558" width="2.625" style="16" customWidth="1"/>
    <col min="12559" max="12571" width="7.625" style="16" customWidth="1"/>
    <col min="12572" max="12572" width="3.625" style="16" customWidth="1"/>
    <col min="12573" max="12575" width="7.625" style="16" customWidth="1"/>
    <col min="12576" max="12576" width="1.625" style="16" customWidth="1"/>
    <col min="12577" max="12799" width="7.625" style="16" customWidth="1"/>
    <col min="12800" max="12800" width="7.625" style="16"/>
    <col min="12801" max="12801" width="15.875" style="16" customWidth="1"/>
    <col min="12802" max="12802" width="11" style="16" customWidth="1"/>
    <col min="12803" max="12803" width="9.625" style="16" customWidth="1"/>
    <col min="12804" max="12804" width="3.625" style="16" customWidth="1"/>
    <col min="12805" max="12805" width="10.625" style="16" customWidth="1"/>
    <col min="12806" max="12806" width="9.125" style="16" customWidth="1"/>
    <col min="12807" max="12807" width="4" style="16" customWidth="1"/>
    <col min="12808" max="12808" width="9.875" style="16" customWidth="1"/>
    <col min="12809" max="12809" width="9.375" style="16" customWidth="1"/>
    <col min="12810" max="12810" width="7.625" style="16" customWidth="1"/>
    <col min="12811" max="12812" width="7.375" style="16" customWidth="1"/>
    <col min="12813" max="12813" width="8.375" style="16" customWidth="1"/>
    <col min="12814" max="12814" width="2.625" style="16" customWidth="1"/>
    <col min="12815" max="12827" width="7.625" style="16" customWidth="1"/>
    <col min="12828" max="12828" width="3.625" style="16" customWidth="1"/>
    <col min="12829" max="12831" width="7.625" style="16" customWidth="1"/>
    <col min="12832" max="12832" width="1.625" style="16" customWidth="1"/>
    <col min="12833" max="13055" width="7.625" style="16" customWidth="1"/>
    <col min="13056" max="13056" width="7.625" style="16"/>
    <col min="13057" max="13057" width="15.875" style="16" customWidth="1"/>
    <col min="13058" max="13058" width="11" style="16" customWidth="1"/>
    <col min="13059" max="13059" width="9.625" style="16" customWidth="1"/>
    <col min="13060" max="13060" width="3.625" style="16" customWidth="1"/>
    <col min="13061" max="13061" width="10.625" style="16" customWidth="1"/>
    <col min="13062" max="13062" width="9.125" style="16" customWidth="1"/>
    <col min="13063" max="13063" width="4" style="16" customWidth="1"/>
    <col min="13064" max="13064" width="9.875" style="16" customWidth="1"/>
    <col min="13065" max="13065" width="9.375" style="16" customWidth="1"/>
    <col min="13066" max="13066" width="7.625" style="16" customWidth="1"/>
    <col min="13067" max="13068" width="7.375" style="16" customWidth="1"/>
    <col min="13069" max="13069" width="8.375" style="16" customWidth="1"/>
    <col min="13070" max="13070" width="2.625" style="16" customWidth="1"/>
    <col min="13071" max="13083" width="7.625" style="16" customWidth="1"/>
    <col min="13084" max="13084" width="3.625" style="16" customWidth="1"/>
    <col min="13085" max="13087" width="7.625" style="16" customWidth="1"/>
    <col min="13088" max="13088" width="1.625" style="16" customWidth="1"/>
    <col min="13089" max="13311" width="7.625" style="16" customWidth="1"/>
    <col min="13312" max="13312" width="7.625" style="16"/>
    <col min="13313" max="13313" width="15.875" style="16" customWidth="1"/>
    <col min="13314" max="13314" width="11" style="16" customWidth="1"/>
    <col min="13315" max="13315" width="9.625" style="16" customWidth="1"/>
    <col min="13316" max="13316" width="3.625" style="16" customWidth="1"/>
    <col min="13317" max="13317" width="10.625" style="16" customWidth="1"/>
    <col min="13318" max="13318" width="9.125" style="16" customWidth="1"/>
    <col min="13319" max="13319" width="4" style="16" customWidth="1"/>
    <col min="13320" max="13320" width="9.875" style="16" customWidth="1"/>
    <col min="13321" max="13321" width="9.375" style="16" customWidth="1"/>
    <col min="13322" max="13322" width="7.625" style="16" customWidth="1"/>
    <col min="13323" max="13324" width="7.375" style="16" customWidth="1"/>
    <col min="13325" max="13325" width="8.375" style="16" customWidth="1"/>
    <col min="13326" max="13326" width="2.625" style="16" customWidth="1"/>
    <col min="13327" max="13339" width="7.625" style="16" customWidth="1"/>
    <col min="13340" max="13340" width="3.625" style="16" customWidth="1"/>
    <col min="13341" max="13343" width="7.625" style="16" customWidth="1"/>
    <col min="13344" max="13344" width="1.625" style="16" customWidth="1"/>
    <col min="13345" max="13567" width="7.625" style="16" customWidth="1"/>
    <col min="13568" max="13568" width="7.625" style="16"/>
    <col min="13569" max="13569" width="15.875" style="16" customWidth="1"/>
    <col min="13570" max="13570" width="11" style="16" customWidth="1"/>
    <col min="13571" max="13571" width="9.625" style="16" customWidth="1"/>
    <col min="13572" max="13572" width="3.625" style="16" customWidth="1"/>
    <col min="13573" max="13573" width="10.625" style="16" customWidth="1"/>
    <col min="13574" max="13574" width="9.125" style="16" customWidth="1"/>
    <col min="13575" max="13575" width="4" style="16" customWidth="1"/>
    <col min="13576" max="13576" width="9.875" style="16" customWidth="1"/>
    <col min="13577" max="13577" width="9.375" style="16" customWidth="1"/>
    <col min="13578" max="13578" width="7.625" style="16" customWidth="1"/>
    <col min="13579" max="13580" width="7.375" style="16" customWidth="1"/>
    <col min="13581" max="13581" width="8.375" style="16" customWidth="1"/>
    <col min="13582" max="13582" width="2.625" style="16" customWidth="1"/>
    <col min="13583" max="13595" width="7.625" style="16" customWidth="1"/>
    <col min="13596" max="13596" width="3.625" style="16" customWidth="1"/>
    <col min="13597" max="13599" width="7.625" style="16" customWidth="1"/>
    <col min="13600" max="13600" width="1.625" style="16" customWidth="1"/>
    <col min="13601" max="13823" width="7.625" style="16" customWidth="1"/>
    <col min="13824" max="13824" width="7.625" style="16"/>
    <col min="13825" max="13825" width="15.875" style="16" customWidth="1"/>
    <col min="13826" max="13826" width="11" style="16" customWidth="1"/>
    <col min="13827" max="13827" width="9.625" style="16" customWidth="1"/>
    <col min="13828" max="13828" width="3.625" style="16" customWidth="1"/>
    <col min="13829" max="13829" width="10.625" style="16" customWidth="1"/>
    <col min="13830" max="13830" width="9.125" style="16" customWidth="1"/>
    <col min="13831" max="13831" width="4" style="16" customWidth="1"/>
    <col min="13832" max="13832" width="9.875" style="16" customWidth="1"/>
    <col min="13833" max="13833" width="9.375" style="16" customWidth="1"/>
    <col min="13834" max="13834" width="7.625" style="16" customWidth="1"/>
    <col min="13835" max="13836" width="7.375" style="16" customWidth="1"/>
    <col min="13837" max="13837" width="8.375" style="16" customWidth="1"/>
    <col min="13838" max="13838" width="2.625" style="16" customWidth="1"/>
    <col min="13839" max="13851" width="7.625" style="16" customWidth="1"/>
    <col min="13852" max="13852" width="3.625" style="16" customWidth="1"/>
    <col min="13853" max="13855" width="7.625" style="16" customWidth="1"/>
    <col min="13856" max="13856" width="1.625" style="16" customWidth="1"/>
    <col min="13857" max="14079" width="7.625" style="16" customWidth="1"/>
    <col min="14080" max="14080" width="7.625" style="16"/>
    <col min="14081" max="14081" width="15.875" style="16" customWidth="1"/>
    <col min="14082" max="14082" width="11" style="16" customWidth="1"/>
    <col min="14083" max="14083" width="9.625" style="16" customWidth="1"/>
    <col min="14084" max="14084" width="3.625" style="16" customWidth="1"/>
    <col min="14085" max="14085" width="10.625" style="16" customWidth="1"/>
    <col min="14086" max="14086" width="9.125" style="16" customWidth="1"/>
    <col min="14087" max="14087" width="4" style="16" customWidth="1"/>
    <col min="14088" max="14088" width="9.875" style="16" customWidth="1"/>
    <col min="14089" max="14089" width="9.375" style="16" customWidth="1"/>
    <col min="14090" max="14090" width="7.625" style="16" customWidth="1"/>
    <col min="14091" max="14092" width="7.375" style="16" customWidth="1"/>
    <col min="14093" max="14093" width="8.375" style="16" customWidth="1"/>
    <col min="14094" max="14094" width="2.625" style="16" customWidth="1"/>
    <col min="14095" max="14107" width="7.625" style="16" customWidth="1"/>
    <col min="14108" max="14108" width="3.625" style="16" customWidth="1"/>
    <col min="14109" max="14111" width="7.625" style="16" customWidth="1"/>
    <col min="14112" max="14112" width="1.625" style="16" customWidth="1"/>
    <col min="14113" max="14335" width="7.625" style="16" customWidth="1"/>
    <col min="14336" max="14336" width="7.625" style="16"/>
    <col min="14337" max="14337" width="15.875" style="16" customWidth="1"/>
    <col min="14338" max="14338" width="11" style="16" customWidth="1"/>
    <col min="14339" max="14339" width="9.625" style="16" customWidth="1"/>
    <col min="14340" max="14340" width="3.625" style="16" customWidth="1"/>
    <col min="14341" max="14341" width="10.625" style="16" customWidth="1"/>
    <col min="14342" max="14342" width="9.125" style="16" customWidth="1"/>
    <col min="14343" max="14343" width="4" style="16" customWidth="1"/>
    <col min="14344" max="14344" width="9.875" style="16" customWidth="1"/>
    <col min="14345" max="14345" width="9.375" style="16" customWidth="1"/>
    <col min="14346" max="14346" width="7.625" style="16" customWidth="1"/>
    <col min="14347" max="14348" width="7.375" style="16" customWidth="1"/>
    <col min="14349" max="14349" width="8.375" style="16" customWidth="1"/>
    <col min="14350" max="14350" width="2.625" style="16" customWidth="1"/>
    <col min="14351" max="14363" width="7.625" style="16" customWidth="1"/>
    <col min="14364" max="14364" width="3.625" style="16" customWidth="1"/>
    <col min="14365" max="14367" width="7.625" style="16" customWidth="1"/>
    <col min="14368" max="14368" width="1.625" style="16" customWidth="1"/>
    <col min="14369" max="14591" width="7.625" style="16" customWidth="1"/>
    <col min="14592" max="14592" width="7.625" style="16"/>
    <col min="14593" max="14593" width="15.875" style="16" customWidth="1"/>
    <col min="14594" max="14594" width="11" style="16" customWidth="1"/>
    <col min="14595" max="14595" width="9.625" style="16" customWidth="1"/>
    <col min="14596" max="14596" width="3.625" style="16" customWidth="1"/>
    <col min="14597" max="14597" width="10.625" style="16" customWidth="1"/>
    <col min="14598" max="14598" width="9.125" style="16" customWidth="1"/>
    <col min="14599" max="14599" width="4" style="16" customWidth="1"/>
    <col min="14600" max="14600" width="9.875" style="16" customWidth="1"/>
    <col min="14601" max="14601" width="9.375" style="16" customWidth="1"/>
    <col min="14602" max="14602" width="7.625" style="16" customWidth="1"/>
    <col min="14603" max="14604" width="7.375" style="16" customWidth="1"/>
    <col min="14605" max="14605" width="8.375" style="16" customWidth="1"/>
    <col min="14606" max="14606" width="2.625" style="16" customWidth="1"/>
    <col min="14607" max="14619" width="7.625" style="16" customWidth="1"/>
    <col min="14620" max="14620" width="3.625" style="16" customWidth="1"/>
    <col min="14621" max="14623" width="7.625" style="16" customWidth="1"/>
    <col min="14624" max="14624" width="1.625" style="16" customWidth="1"/>
    <col min="14625" max="14847" width="7.625" style="16" customWidth="1"/>
    <col min="14848" max="14848" width="7.625" style="16"/>
    <col min="14849" max="14849" width="15.875" style="16" customWidth="1"/>
    <col min="14850" max="14850" width="11" style="16" customWidth="1"/>
    <col min="14851" max="14851" width="9.625" style="16" customWidth="1"/>
    <col min="14852" max="14852" width="3.625" style="16" customWidth="1"/>
    <col min="14853" max="14853" width="10.625" style="16" customWidth="1"/>
    <col min="14854" max="14854" width="9.125" style="16" customWidth="1"/>
    <col min="14855" max="14855" width="4" style="16" customWidth="1"/>
    <col min="14856" max="14856" width="9.875" style="16" customWidth="1"/>
    <col min="14857" max="14857" width="9.375" style="16" customWidth="1"/>
    <col min="14858" max="14858" width="7.625" style="16" customWidth="1"/>
    <col min="14859" max="14860" width="7.375" style="16" customWidth="1"/>
    <col min="14861" max="14861" width="8.375" style="16" customWidth="1"/>
    <col min="14862" max="14862" width="2.625" style="16" customWidth="1"/>
    <col min="14863" max="14875" width="7.625" style="16" customWidth="1"/>
    <col min="14876" max="14876" width="3.625" style="16" customWidth="1"/>
    <col min="14877" max="14879" width="7.625" style="16" customWidth="1"/>
    <col min="14880" max="14880" width="1.625" style="16" customWidth="1"/>
    <col min="14881" max="15103" width="7.625" style="16" customWidth="1"/>
    <col min="15104" max="15104" width="7.625" style="16"/>
    <col min="15105" max="15105" width="15.875" style="16" customWidth="1"/>
    <col min="15106" max="15106" width="11" style="16" customWidth="1"/>
    <col min="15107" max="15107" width="9.625" style="16" customWidth="1"/>
    <col min="15108" max="15108" width="3.625" style="16" customWidth="1"/>
    <col min="15109" max="15109" width="10.625" style="16" customWidth="1"/>
    <col min="15110" max="15110" width="9.125" style="16" customWidth="1"/>
    <col min="15111" max="15111" width="4" style="16" customWidth="1"/>
    <col min="15112" max="15112" width="9.875" style="16" customWidth="1"/>
    <col min="15113" max="15113" width="9.375" style="16" customWidth="1"/>
    <col min="15114" max="15114" width="7.625" style="16" customWidth="1"/>
    <col min="15115" max="15116" width="7.375" style="16" customWidth="1"/>
    <col min="15117" max="15117" width="8.375" style="16" customWidth="1"/>
    <col min="15118" max="15118" width="2.625" style="16" customWidth="1"/>
    <col min="15119" max="15131" width="7.625" style="16" customWidth="1"/>
    <col min="15132" max="15132" width="3.625" style="16" customWidth="1"/>
    <col min="15133" max="15135" width="7.625" style="16" customWidth="1"/>
    <col min="15136" max="15136" width="1.625" style="16" customWidth="1"/>
    <col min="15137" max="15359" width="7.625" style="16" customWidth="1"/>
    <col min="15360" max="15360" width="7.625" style="16"/>
    <col min="15361" max="15361" width="15.875" style="16" customWidth="1"/>
    <col min="15362" max="15362" width="11" style="16" customWidth="1"/>
    <col min="15363" max="15363" width="9.625" style="16" customWidth="1"/>
    <col min="15364" max="15364" width="3.625" style="16" customWidth="1"/>
    <col min="15365" max="15365" width="10.625" style="16" customWidth="1"/>
    <col min="15366" max="15366" width="9.125" style="16" customWidth="1"/>
    <col min="15367" max="15367" width="4" style="16" customWidth="1"/>
    <col min="15368" max="15368" width="9.875" style="16" customWidth="1"/>
    <col min="15369" max="15369" width="9.375" style="16" customWidth="1"/>
    <col min="15370" max="15370" width="7.625" style="16" customWidth="1"/>
    <col min="15371" max="15372" width="7.375" style="16" customWidth="1"/>
    <col min="15373" max="15373" width="8.375" style="16" customWidth="1"/>
    <col min="15374" max="15374" width="2.625" style="16" customWidth="1"/>
    <col min="15375" max="15387" width="7.625" style="16" customWidth="1"/>
    <col min="15388" max="15388" width="3.625" style="16" customWidth="1"/>
    <col min="15389" max="15391" width="7.625" style="16" customWidth="1"/>
    <col min="15392" max="15392" width="1.625" style="16" customWidth="1"/>
    <col min="15393" max="15615" width="7.625" style="16" customWidth="1"/>
    <col min="15616" max="15616" width="7.625" style="16"/>
    <col min="15617" max="15617" width="15.875" style="16" customWidth="1"/>
    <col min="15618" max="15618" width="11" style="16" customWidth="1"/>
    <col min="15619" max="15619" width="9.625" style="16" customWidth="1"/>
    <col min="15620" max="15620" width="3.625" style="16" customWidth="1"/>
    <col min="15621" max="15621" width="10.625" style="16" customWidth="1"/>
    <col min="15622" max="15622" width="9.125" style="16" customWidth="1"/>
    <col min="15623" max="15623" width="4" style="16" customWidth="1"/>
    <col min="15624" max="15624" width="9.875" style="16" customWidth="1"/>
    <col min="15625" max="15625" width="9.375" style="16" customWidth="1"/>
    <col min="15626" max="15626" width="7.625" style="16" customWidth="1"/>
    <col min="15627" max="15628" width="7.375" style="16" customWidth="1"/>
    <col min="15629" max="15629" width="8.375" style="16" customWidth="1"/>
    <col min="15630" max="15630" width="2.625" style="16" customWidth="1"/>
    <col min="15631" max="15643" width="7.625" style="16" customWidth="1"/>
    <col min="15644" max="15644" width="3.625" style="16" customWidth="1"/>
    <col min="15645" max="15647" width="7.625" style="16" customWidth="1"/>
    <col min="15648" max="15648" width="1.625" style="16" customWidth="1"/>
    <col min="15649" max="15871" width="7.625" style="16" customWidth="1"/>
    <col min="15872" max="15872" width="7.625" style="16"/>
    <col min="15873" max="15873" width="15.875" style="16" customWidth="1"/>
    <col min="15874" max="15874" width="11" style="16" customWidth="1"/>
    <col min="15875" max="15875" width="9.625" style="16" customWidth="1"/>
    <col min="15876" max="15876" width="3.625" style="16" customWidth="1"/>
    <col min="15877" max="15877" width="10.625" style="16" customWidth="1"/>
    <col min="15878" max="15878" width="9.125" style="16" customWidth="1"/>
    <col min="15879" max="15879" width="4" style="16" customWidth="1"/>
    <col min="15880" max="15880" width="9.875" style="16" customWidth="1"/>
    <col min="15881" max="15881" width="9.375" style="16" customWidth="1"/>
    <col min="15882" max="15882" width="7.625" style="16" customWidth="1"/>
    <col min="15883" max="15884" width="7.375" style="16" customWidth="1"/>
    <col min="15885" max="15885" width="8.375" style="16" customWidth="1"/>
    <col min="15886" max="15886" width="2.625" style="16" customWidth="1"/>
    <col min="15887" max="15899" width="7.625" style="16" customWidth="1"/>
    <col min="15900" max="15900" width="3.625" style="16" customWidth="1"/>
    <col min="15901" max="15903" width="7.625" style="16" customWidth="1"/>
    <col min="15904" max="15904" width="1.625" style="16" customWidth="1"/>
    <col min="15905" max="16127" width="7.625" style="16" customWidth="1"/>
    <col min="16128" max="16128" width="7.625" style="16"/>
    <col min="16129" max="16129" width="15.875" style="16" customWidth="1"/>
    <col min="16130" max="16130" width="11" style="16" customWidth="1"/>
    <col min="16131" max="16131" width="9.625" style="16" customWidth="1"/>
    <col min="16132" max="16132" width="3.625" style="16" customWidth="1"/>
    <col min="16133" max="16133" width="10.625" style="16" customWidth="1"/>
    <col min="16134" max="16134" width="9.125" style="16" customWidth="1"/>
    <col min="16135" max="16135" width="4" style="16" customWidth="1"/>
    <col min="16136" max="16136" width="9.875" style="16" customWidth="1"/>
    <col min="16137" max="16137" width="9.375" style="16" customWidth="1"/>
    <col min="16138" max="16138" width="7.625" style="16" customWidth="1"/>
    <col min="16139" max="16140" width="7.375" style="16" customWidth="1"/>
    <col min="16141" max="16141" width="8.375" style="16" customWidth="1"/>
    <col min="16142" max="16142" width="2.625" style="16" customWidth="1"/>
    <col min="16143" max="16155" width="7.625" style="16" customWidth="1"/>
    <col min="16156" max="16156" width="3.625" style="16" customWidth="1"/>
    <col min="16157" max="16159" width="7.625" style="16" customWidth="1"/>
    <col min="16160" max="16160" width="1.625" style="16" customWidth="1"/>
    <col min="16161" max="16383" width="7.625" style="16" customWidth="1"/>
    <col min="16384" max="16384" width="7.625" style="16"/>
  </cols>
  <sheetData>
    <row r="1" spans="1:49" s="51" customFormat="1" ht="15.6" customHeight="1" x14ac:dyDescent="0.2">
      <c r="A1" s="354" t="s">
        <v>332</v>
      </c>
      <c r="B1" s="355"/>
      <c r="C1" s="355"/>
      <c r="D1" s="355"/>
      <c r="E1" s="355"/>
      <c r="F1" s="355"/>
      <c r="G1" s="355"/>
      <c r="H1" s="355"/>
      <c r="I1" s="357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7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358"/>
      <c r="B2" s="717" t="s">
        <v>393</v>
      </c>
      <c r="C2" s="717"/>
      <c r="D2" s="359"/>
      <c r="E2" s="717" t="s">
        <v>350</v>
      </c>
      <c r="F2" s="717"/>
      <c r="G2" s="360"/>
      <c r="H2" s="717" t="s">
        <v>302</v>
      </c>
      <c r="I2" s="718"/>
      <c r="L2" s="35"/>
      <c r="Q2" s="27"/>
      <c r="AB2" s="27"/>
      <c r="AD2" s="27"/>
      <c r="AH2" s="27"/>
    </row>
    <row r="3" spans="1:49" s="272" customFormat="1" ht="12.75" x14ac:dyDescent="0.2">
      <c r="A3" s="417"/>
      <c r="B3" s="418"/>
      <c r="C3" s="419" t="s">
        <v>297</v>
      </c>
      <c r="D3" s="418"/>
      <c r="E3" s="418"/>
      <c r="F3" s="419" t="s">
        <v>297</v>
      </c>
      <c r="G3" s="418"/>
      <c r="H3" s="418"/>
      <c r="I3" s="420" t="s">
        <v>297</v>
      </c>
      <c r="K3" s="16"/>
      <c r="L3" s="35"/>
      <c r="M3" s="16"/>
      <c r="N3" s="16"/>
    </row>
    <row r="4" spans="1:49" x14ac:dyDescent="0.2">
      <c r="A4" s="362" t="s">
        <v>44</v>
      </c>
      <c r="B4" s="64" t="s">
        <v>77</v>
      </c>
      <c r="C4" s="64" t="s">
        <v>78</v>
      </c>
      <c r="D4" s="23"/>
      <c r="E4" s="64" t="s">
        <v>77</v>
      </c>
      <c r="F4" s="64" t="s">
        <v>78</v>
      </c>
      <c r="G4" s="15"/>
      <c r="H4" s="64" t="s">
        <v>77</v>
      </c>
      <c r="I4" s="421" t="s">
        <v>78</v>
      </c>
      <c r="K4" s="56"/>
      <c r="L4" s="56"/>
      <c r="M4" s="56"/>
      <c r="Q4" s="27"/>
      <c r="AB4" s="27"/>
      <c r="AC4" s="56"/>
      <c r="AD4" s="56"/>
      <c r="AE4" s="56"/>
      <c r="AG4" s="56"/>
      <c r="AH4" s="56"/>
      <c r="AI4" s="56"/>
    </row>
    <row r="5" spans="1:49" x14ac:dyDescent="0.2">
      <c r="A5" s="403"/>
      <c r="B5" s="56"/>
      <c r="C5" s="56"/>
      <c r="D5" s="27"/>
      <c r="E5" s="56"/>
      <c r="F5" s="56"/>
      <c r="H5" s="56"/>
      <c r="I5" s="404"/>
      <c r="K5" s="56"/>
      <c r="L5" s="56"/>
      <c r="M5" s="56"/>
      <c r="Q5" s="27"/>
      <c r="AB5" s="27"/>
      <c r="AC5" s="56"/>
      <c r="AD5" s="56"/>
      <c r="AE5" s="56"/>
      <c r="AG5" s="56"/>
      <c r="AH5" s="56"/>
      <c r="AI5" s="56"/>
    </row>
    <row r="6" spans="1:49" ht="12.75" customHeight="1" x14ac:dyDescent="0.2">
      <c r="A6" s="412"/>
      <c r="B6" s="719" t="s">
        <v>79</v>
      </c>
      <c r="C6" s="719"/>
      <c r="D6" s="719"/>
      <c r="E6" s="719"/>
      <c r="F6" s="719"/>
      <c r="G6" s="719"/>
      <c r="H6" s="719"/>
      <c r="I6" s="720"/>
      <c r="J6" s="32"/>
      <c r="K6" s="32"/>
      <c r="L6" s="32"/>
      <c r="M6" s="32"/>
      <c r="Q6" s="27"/>
      <c r="AB6" s="27"/>
    </row>
    <row r="7" spans="1:49" x14ac:dyDescent="0.2">
      <c r="A7" s="405"/>
      <c r="D7" s="27"/>
      <c r="I7" s="365"/>
      <c r="Q7" s="27"/>
      <c r="AB7" s="27"/>
    </row>
    <row r="8" spans="1:49" x14ac:dyDescent="0.2">
      <c r="A8" s="408" t="s">
        <v>47</v>
      </c>
      <c r="B8" s="16">
        <v>13.91</v>
      </c>
      <c r="C8" s="16">
        <v>14.47</v>
      </c>
      <c r="D8" s="27"/>
      <c r="E8" s="16">
        <v>9.57</v>
      </c>
      <c r="F8" s="16">
        <v>9.91</v>
      </c>
      <c r="H8" s="16">
        <v>9.6300000000000008</v>
      </c>
      <c r="I8" s="365">
        <v>9.67</v>
      </c>
      <c r="Q8" s="27"/>
      <c r="AA8" s="27"/>
      <c r="AB8" s="27"/>
    </row>
    <row r="9" spans="1:49" x14ac:dyDescent="0.2">
      <c r="A9" s="408" t="s">
        <v>48</v>
      </c>
      <c r="B9" s="16">
        <v>15.07</v>
      </c>
      <c r="C9" s="16">
        <v>15.7</v>
      </c>
      <c r="D9" s="27"/>
      <c r="E9" s="16">
        <v>9.82</v>
      </c>
      <c r="F9" s="16">
        <v>10.199999999999999</v>
      </c>
      <c r="H9" s="16">
        <v>9.61</v>
      </c>
      <c r="I9" s="365">
        <v>9.65</v>
      </c>
      <c r="Q9" s="27"/>
      <c r="AA9" s="27"/>
      <c r="AB9" s="27"/>
    </row>
    <row r="10" spans="1:49" x14ac:dyDescent="0.2">
      <c r="A10" s="408" t="s">
        <v>66</v>
      </c>
      <c r="B10" s="16">
        <v>14.73</v>
      </c>
      <c r="C10" s="16">
        <v>15.35</v>
      </c>
      <c r="D10" s="27"/>
      <c r="E10" s="16">
        <v>10.43</v>
      </c>
      <c r="F10" s="16">
        <v>10.8</v>
      </c>
      <c r="H10" s="16">
        <v>9.58</v>
      </c>
      <c r="I10" s="365">
        <v>9.67</v>
      </c>
      <c r="Q10" s="27"/>
      <c r="AA10" s="27"/>
      <c r="AB10" s="27"/>
    </row>
    <row r="11" spans="1:49" x14ac:dyDescent="0.2">
      <c r="A11" s="410" t="s">
        <v>423</v>
      </c>
      <c r="B11" s="16">
        <v>14.98</v>
      </c>
      <c r="C11" s="16">
        <v>15.6</v>
      </c>
      <c r="D11" s="27"/>
      <c r="E11" s="16">
        <v>10.61</v>
      </c>
      <c r="F11" s="16">
        <v>11</v>
      </c>
      <c r="H11" s="16">
        <v>9.49</v>
      </c>
      <c r="I11" s="365">
        <v>9.52</v>
      </c>
      <c r="Q11" s="27"/>
      <c r="AA11" s="27"/>
      <c r="AB11" s="27"/>
    </row>
    <row r="12" spans="1:49" x14ac:dyDescent="0.2">
      <c r="A12" s="410" t="s">
        <v>427</v>
      </c>
      <c r="B12" s="16">
        <v>15.36</v>
      </c>
      <c r="C12" s="16">
        <v>16.010000000000002</v>
      </c>
      <c r="D12" s="27"/>
      <c r="E12" s="16">
        <v>10.8</v>
      </c>
      <c r="F12" s="16">
        <v>11.19</v>
      </c>
      <c r="H12" s="16">
        <v>9.2200000000000006</v>
      </c>
      <c r="I12" s="365">
        <v>9.25</v>
      </c>
      <c r="Q12" s="27"/>
      <c r="AA12" s="27"/>
      <c r="AB12" s="27"/>
    </row>
    <row r="13" spans="1:49" x14ac:dyDescent="0.2">
      <c r="A13" s="410" t="s">
        <v>70</v>
      </c>
      <c r="B13" s="16">
        <v>15.67</v>
      </c>
      <c r="C13" s="16">
        <v>16.34</v>
      </c>
      <c r="D13" s="27"/>
      <c r="E13" s="16">
        <v>10.81</v>
      </c>
      <c r="F13" s="16">
        <v>11.2</v>
      </c>
      <c r="H13" s="16">
        <v>9.01</v>
      </c>
      <c r="I13" s="365">
        <v>9.0399999999999991</v>
      </c>
      <c r="Q13" s="27"/>
      <c r="AA13" s="27"/>
      <c r="AB13" s="27"/>
    </row>
    <row r="14" spans="1:49" x14ac:dyDescent="0.2">
      <c r="A14" s="410" t="s">
        <v>71</v>
      </c>
      <c r="B14" s="16">
        <v>16.71</v>
      </c>
      <c r="C14" s="16">
        <v>16.59</v>
      </c>
      <c r="D14" s="27"/>
      <c r="E14" s="16">
        <v>11.46</v>
      </c>
      <c r="F14" s="16">
        <v>11.95</v>
      </c>
      <c r="H14" s="16">
        <v>9.0500000000000007</v>
      </c>
      <c r="I14" s="365">
        <v>9.48</v>
      </c>
      <c r="Q14" s="27"/>
      <c r="AA14" s="27"/>
      <c r="AB14" s="27"/>
    </row>
    <row r="15" spans="1:49" x14ac:dyDescent="0.2">
      <c r="A15" s="410" t="s">
        <v>72</v>
      </c>
      <c r="B15" s="16">
        <v>14.94</v>
      </c>
      <c r="C15" s="16">
        <v>16.21</v>
      </c>
      <c r="D15" s="27"/>
      <c r="E15" s="16">
        <v>11.33</v>
      </c>
      <c r="F15" s="16">
        <v>12.02</v>
      </c>
      <c r="H15" s="16">
        <v>9.4499999999999993</v>
      </c>
      <c r="I15" s="365">
        <v>10.06</v>
      </c>
      <c r="Q15" s="27"/>
      <c r="AA15" s="27"/>
      <c r="AB15" s="27"/>
    </row>
    <row r="16" spans="1:49" x14ac:dyDescent="0.2">
      <c r="A16" s="410" t="s">
        <v>73</v>
      </c>
      <c r="B16" s="16">
        <v>14.8</v>
      </c>
      <c r="C16" s="16">
        <v>16.05</v>
      </c>
      <c r="D16" s="27"/>
      <c r="E16" s="16">
        <v>11.43</v>
      </c>
      <c r="F16" s="16">
        <v>12.12</v>
      </c>
      <c r="H16" s="16">
        <v>9.59</v>
      </c>
      <c r="I16" s="365">
        <v>10.199999999999999</v>
      </c>
      <c r="Q16" s="27"/>
      <c r="AA16" s="27"/>
      <c r="AB16" s="27"/>
    </row>
    <row r="17" spans="1:49" x14ac:dyDescent="0.2">
      <c r="A17" s="408" t="s">
        <v>55</v>
      </c>
      <c r="B17" s="16">
        <v>14.69</v>
      </c>
      <c r="C17" s="16">
        <v>15.94</v>
      </c>
      <c r="D17" s="27"/>
      <c r="E17" s="16">
        <v>11.6</v>
      </c>
      <c r="F17" s="16">
        <v>12.31</v>
      </c>
      <c r="H17" s="16">
        <v>9.56</v>
      </c>
      <c r="I17" s="365">
        <v>10.17</v>
      </c>
      <c r="Q17" s="27"/>
      <c r="AA17" s="27"/>
      <c r="AB17" s="27"/>
    </row>
    <row r="18" spans="1:49" x14ac:dyDescent="0.2">
      <c r="A18" s="410" t="s">
        <v>482</v>
      </c>
      <c r="B18" s="16">
        <v>14.71</v>
      </c>
      <c r="C18" s="16">
        <v>15.96</v>
      </c>
      <c r="D18" s="27"/>
      <c r="E18" s="16">
        <v>11.73</v>
      </c>
      <c r="F18" s="16">
        <v>12.45</v>
      </c>
      <c r="H18" s="16">
        <v>9.73</v>
      </c>
      <c r="I18" s="365">
        <v>10.34</v>
      </c>
      <c r="Q18" s="27"/>
      <c r="AA18" s="27"/>
      <c r="AB18" s="27"/>
    </row>
    <row r="19" spans="1:49" x14ac:dyDescent="0.2">
      <c r="A19" s="410" t="s">
        <v>63</v>
      </c>
      <c r="D19" s="27"/>
      <c r="E19" s="16">
        <v>12.25</v>
      </c>
      <c r="F19" s="16">
        <v>12.99</v>
      </c>
      <c r="H19" s="16">
        <v>9.85</v>
      </c>
      <c r="I19" s="365">
        <v>10.47</v>
      </c>
      <c r="N19" s="27" t="s">
        <v>60</v>
      </c>
      <c r="Q19" s="27"/>
      <c r="AA19" s="27"/>
      <c r="AB19" s="27"/>
    </row>
    <row r="20" spans="1:49" ht="5.25" customHeight="1" x14ac:dyDescent="0.2">
      <c r="A20" s="412"/>
      <c r="D20" s="27"/>
      <c r="I20" s="365"/>
      <c r="Q20" s="27"/>
      <c r="AB20" s="27"/>
      <c r="AC20" s="27"/>
      <c r="AD20" s="27"/>
      <c r="AE20" s="27"/>
    </row>
    <row r="21" spans="1:49" x14ac:dyDescent="0.2">
      <c r="A21" s="412" t="s">
        <v>75</v>
      </c>
      <c r="D21" s="27"/>
      <c r="I21" s="365"/>
      <c r="Q21" s="27"/>
      <c r="AB21" s="27"/>
      <c r="AC21" s="27"/>
      <c r="AD21" s="27"/>
      <c r="AE21" s="27"/>
    </row>
    <row r="22" spans="1:49" s="51" customFormat="1" ht="12.75" thickBot="1" x14ac:dyDescent="0.25">
      <c r="A22" s="414" t="s">
        <v>252</v>
      </c>
      <c r="B22" s="415">
        <f>AVERAGE(B8:B19)</f>
        <v>15.051818181818184</v>
      </c>
      <c r="C22" s="415">
        <f>AVERAGE(C8:C19)</f>
        <v>15.838181818181821</v>
      </c>
      <c r="D22" s="422"/>
      <c r="E22" s="415">
        <f>AVERAGE(E8:E19)</f>
        <v>10.986666666666665</v>
      </c>
      <c r="F22" s="415">
        <f>AVERAGE(F8:F19)</f>
        <v>11.511666666666668</v>
      </c>
      <c r="G22" s="415"/>
      <c r="H22" s="415">
        <f>AVERAGE(H8:H19)</f>
        <v>9.4808333333333348</v>
      </c>
      <c r="I22" s="416">
        <f>AVERAGE(I8:I19)</f>
        <v>9.7933333333333348</v>
      </c>
      <c r="J22" s="16"/>
      <c r="K22" s="16"/>
      <c r="L22" s="16"/>
      <c r="M22" s="16"/>
      <c r="N22" s="16"/>
      <c r="O22" s="16"/>
      <c r="P22" s="16"/>
      <c r="Q22" s="27"/>
      <c r="R22" s="16"/>
      <c r="S22" s="16"/>
      <c r="T22" s="16"/>
      <c r="U22" s="16"/>
      <c r="V22" s="16"/>
      <c r="W22" s="16"/>
      <c r="X22" s="16"/>
      <c r="Y22" s="16"/>
      <c r="Z22" s="16"/>
      <c r="AA22" s="27"/>
      <c r="AB22" s="2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5" t="s">
        <v>452</v>
      </c>
      <c r="AA23" s="27"/>
    </row>
    <row r="24" spans="1:49" ht="12.75" customHeight="1" x14ac:dyDescent="0.2">
      <c r="A24" s="35" t="s">
        <v>451</v>
      </c>
      <c r="AA24" s="27"/>
    </row>
    <row r="25" spans="1:49" ht="11.25" customHeight="1" x14ac:dyDescent="0.2">
      <c r="A25" s="16" t="s">
        <v>491</v>
      </c>
      <c r="AA25" s="27"/>
    </row>
    <row r="26" spans="1:49" ht="11.25" customHeight="1" x14ac:dyDescent="0.2">
      <c r="A26" s="16" t="s">
        <v>340</v>
      </c>
      <c r="AA26" s="27"/>
    </row>
    <row r="27" spans="1:49" ht="10.5" customHeight="1" x14ac:dyDescent="0.2">
      <c r="A27" s="6" t="s">
        <v>483</v>
      </c>
      <c r="AA27" s="27"/>
    </row>
    <row r="28" spans="1:49" x14ac:dyDescent="0.2">
      <c r="AA28" s="2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G6" transitionEvaluation="1" transitionEntry="1" codeName="Sheet7">
    <pageSetUpPr fitToPage="1"/>
  </sheetPr>
  <dimension ref="A1:S93"/>
  <sheetViews>
    <sheetView showGridLines="0" zoomScale="140" zoomScaleNormal="120"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ColWidth="8.625" defaultRowHeight="12" x14ac:dyDescent="0.2"/>
  <cols>
    <col min="1" max="1" width="31.375" style="67" customWidth="1"/>
    <col min="2" max="2" width="9.5" style="67" customWidth="1"/>
    <col min="3" max="3" width="9.625" style="71" customWidth="1"/>
    <col min="4" max="4" width="9.125" style="72" customWidth="1"/>
    <col min="5" max="5" width="9.75" style="72" customWidth="1"/>
    <col min="6" max="6" width="9.5" style="72" customWidth="1"/>
    <col min="7" max="7" width="10.25" style="72" customWidth="1"/>
    <col min="8" max="8" width="8.875" style="72" customWidth="1"/>
    <col min="9" max="9" width="8.625" style="72" customWidth="1"/>
    <col min="10" max="10" width="8.875" style="72" customWidth="1"/>
    <col min="11" max="11" width="8.75" style="72" customWidth="1"/>
    <col min="12" max="12" width="2.625" style="72" customWidth="1"/>
    <col min="13" max="14" width="10.375" style="72" customWidth="1"/>
    <col min="15" max="15" width="10.875" style="143" customWidth="1"/>
    <col min="16" max="16" width="11.5" style="143" customWidth="1"/>
    <col min="17" max="250" width="8.625" style="67"/>
    <col min="251" max="251" width="34.75" style="67" customWidth="1"/>
    <col min="252" max="252" width="10.75" style="67" customWidth="1"/>
    <col min="253" max="253" width="11.375" style="67" customWidth="1"/>
    <col min="254" max="254" width="12.25" style="67" customWidth="1"/>
    <col min="255" max="255" width="13" style="67" customWidth="1"/>
    <col min="256" max="256" width="12.625" style="67" customWidth="1"/>
    <col min="257" max="257" width="14.25" style="67" customWidth="1"/>
    <col min="258" max="259" width="13.375" style="67" customWidth="1"/>
    <col min="260" max="260" width="13.875" style="67" customWidth="1"/>
    <col min="261" max="269" width="9.625" style="67" customWidth="1"/>
    <col min="270" max="270" width="12.625" style="67" customWidth="1"/>
    <col min="271" max="506" width="8.625" style="67"/>
    <col min="507" max="507" width="34.75" style="67" customWidth="1"/>
    <col min="508" max="508" width="10.75" style="67" customWidth="1"/>
    <col min="509" max="509" width="11.375" style="67" customWidth="1"/>
    <col min="510" max="510" width="12.25" style="67" customWidth="1"/>
    <col min="511" max="511" width="13" style="67" customWidth="1"/>
    <col min="512" max="512" width="12.625" style="67" customWidth="1"/>
    <col min="513" max="513" width="14.25" style="67" customWidth="1"/>
    <col min="514" max="515" width="13.375" style="67" customWidth="1"/>
    <col min="516" max="516" width="13.875" style="67" customWidth="1"/>
    <col min="517" max="525" width="9.625" style="67" customWidth="1"/>
    <col min="526" max="526" width="12.625" style="67" customWidth="1"/>
    <col min="527" max="762" width="8.625" style="67"/>
    <col min="763" max="763" width="34.75" style="67" customWidth="1"/>
    <col min="764" max="764" width="10.75" style="67" customWidth="1"/>
    <col min="765" max="765" width="11.375" style="67" customWidth="1"/>
    <col min="766" max="766" width="12.25" style="67" customWidth="1"/>
    <col min="767" max="767" width="13" style="67" customWidth="1"/>
    <col min="768" max="768" width="12.625" style="67" customWidth="1"/>
    <col min="769" max="769" width="14.25" style="67" customWidth="1"/>
    <col min="770" max="771" width="13.375" style="67" customWidth="1"/>
    <col min="772" max="772" width="13.875" style="67" customWidth="1"/>
    <col min="773" max="781" width="9.625" style="67" customWidth="1"/>
    <col min="782" max="782" width="12.625" style="67" customWidth="1"/>
    <col min="783" max="1018" width="8.625" style="67"/>
    <col min="1019" max="1019" width="34.75" style="67" customWidth="1"/>
    <col min="1020" max="1020" width="10.75" style="67" customWidth="1"/>
    <col min="1021" max="1021" width="11.375" style="67" customWidth="1"/>
    <col min="1022" max="1022" width="12.25" style="67" customWidth="1"/>
    <col min="1023" max="1023" width="13" style="67" customWidth="1"/>
    <col min="1024" max="1024" width="12.625" style="67" customWidth="1"/>
    <col min="1025" max="1025" width="14.25" style="67" customWidth="1"/>
    <col min="1026" max="1027" width="13.375" style="67" customWidth="1"/>
    <col min="1028" max="1028" width="13.875" style="67" customWidth="1"/>
    <col min="1029" max="1037" width="9.625" style="67" customWidth="1"/>
    <col min="1038" max="1038" width="12.625" style="67" customWidth="1"/>
    <col min="1039" max="1274" width="8.625" style="67"/>
    <col min="1275" max="1275" width="34.75" style="67" customWidth="1"/>
    <col min="1276" max="1276" width="10.75" style="67" customWidth="1"/>
    <col min="1277" max="1277" width="11.375" style="67" customWidth="1"/>
    <col min="1278" max="1278" width="12.25" style="67" customWidth="1"/>
    <col min="1279" max="1279" width="13" style="67" customWidth="1"/>
    <col min="1280" max="1280" width="12.625" style="67" customWidth="1"/>
    <col min="1281" max="1281" width="14.25" style="67" customWidth="1"/>
    <col min="1282" max="1283" width="13.375" style="67" customWidth="1"/>
    <col min="1284" max="1284" width="13.875" style="67" customWidth="1"/>
    <col min="1285" max="1293" width="9.625" style="67" customWidth="1"/>
    <col min="1294" max="1294" width="12.625" style="67" customWidth="1"/>
    <col min="1295" max="1530" width="8.625" style="67"/>
    <col min="1531" max="1531" width="34.75" style="67" customWidth="1"/>
    <col min="1532" max="1532" width="10.75" style="67" customWidth="1"/>
    <col min="1533" max="1533" width="11.375" style="67" customWidth="1"/>
    <col min="1534" max="1534" width="12.25" style="67" customWidth="1"/>
    <col min="1535" max="1535" width="13" style="67" customWidth="1"/>
    <col min="1536" max="1536" width="12.625" style="67" customWidth="1"/>
    <col min="1537" max="1537" width="14.25" style="67" customWidth="1"/>
    <col min="1538" max="1539" width="13.375" style="67" customWidth="1"/>
    <col min="1540" max="1540" width="13.875" style="67" customWidth="1"/>
    <col min="1541" max="1549" width="9.625" style="67" customWidth="1"/>
    <col min="1550" max="1550" width="12.625" style="67" customWidth="1"/>
    <col min="1551" max="1786" width="8.625" style="67"/>
    <col min="1787" max="1787" width="34.75" style="67" customWidth="1"/>
    <col min="1788" max="1788" width="10.75" style="67" customWidth="1"/>
    <col min="1789" max="1789" width="11.375" style="67" customWidth="1"/>
    <col min="1790" max="1790" width="12.25" style="67" customWidth="1"/>
    <col min="1791" max="1791" width="13" style="67" customWidth="1"/>
    <col min="1792" max="1792" width="12.625" style="67" customWidth="1"/>
    <col min="1793" max="1793" width="14.25" style="67" customWidth="1"/>
    <col min="1794" max="1795" width="13.375" style="67" customWidth="1"/>
    <col min="1796" max="1796" width="13.875" style="67" customWidth="1"/>
    <col min="1797" max="1805" width="9.625" style="67" customWidth="1"/>
    <col min="1806" max="1806" width="12.625" style="67" customWidth="1"/>
    <col min="1807" max="2042" width="8.625" style="67"/>
    <col min="2043" max="2043" width="34.75" style="67" customWidth="1"/>
    <col min="2044" max="2044" width="10.75" style="67" customWidth="1"/>
    <col min="2045" max="2045" width="11.375" style="67" customWidth="1"/>
    <col min="2046" max="2046" width="12.25" style="67" customWidth="1"/>
    <col min="2047" max="2047" width="13" style="67" customWidth="1"/>
    <col min="2048" max="2048" width="12.625" style="67" customWidth="1"/>
    <col min="2049" max="2049" width="14.25" style="67" customWidth="1"/>
    <col min="2050" max="2051" width="13.375" style="67" customWidth="1"/>
    <col min="2052" max="2052" width="13.875" style="67" customWidth="1"/>
    <col min="2053" max="2061" width="9.625" style="67" customWidth="1"/>
    <col min="2062" max="2062" width="12.625" style="67" customWidth="1"/>
    <col min="2063" max="2298" width="8.625" style="67"/>
    <col min="2299" max="2299" width="34.75" style="67" customWidth="1"/>
    <col min="2300" max="2300" width="10.75" style="67" customWidth="1"/>
    <col min="2301" max="2301" width="11.375" style="67" customWidth="1"/>
    <col min="2302" max="2302" width="12.25" style="67" customWidth="1"/>
    <col min="2303" max="2303" width="13" style="67" customWidth="1"/>
    <col min="2304" max="2304" width="12.625" style="67" customWidth="1"/>
    <col min="2305" max="2305" width="14.25" style="67" customWidth="1"/>
    <col min="2306" max="2307" width="13.375" style="67" customWidth="1"/>
    <col min="2308" max="2308" width="13.875" style="67" customWidth="1"/>
    <col min="2309" max="2317" width="9.625" style="67" customWidth="1"/>
    <col min="2318" max="2318" width="12.625" style="67" customWidth="1"/>
    <col min="2319" max="2554" width="8.625" style="67"/>
    <col min="2555" max="2555" width="34.75" style="67" customWidth="1"/>
    <col min="2556" max="2556" width="10.75" style="67" customWidth="1"/>
    <col min="2557" max="2557" width="11.375" style="67" customWidth="1"/>
    <col min="2558" max="2558" width="12.25" style="67" customWidth="1"/>
    <col min="2559" max="2559" width="13" style="67" customWidth="1"/>
    <col min="2560" max="2560" width="12.625" style="67" customWidth="1"/>
    <col min="2561" max="2561" width="14.25" style="67" customWidth="1"/>
    <col min="2562" max="2563" width="13.375" style="67" customWidth="1"/>
    <col min="2564" max="2564" width="13.875" style="67" customWidth="1"/>
    <col min="2565" max="2573" width="9.625" style="67" customWidth="1"/>
    <col min="2574" max="2574" width="12.625" style="67" customWidth="1"/>
    <col min="2575" max="2810" width="8.625" style="67"/>
    <col min="2811" max="2811" width="34.75" style="67" customWidth="1"/>
    <col min="2812" max="2812" width="10.75" style="67" customWidth="1"/>
    <col min="2813" max="2813" width="11.375" style="67" customWidth="1"/>
    <col min="2814" max="2814" width="12.25" style="67" customWidth="1"/>
    <col min="2815" max="2815" width="13" style="67" customWidth="1"/>
    <col min="2816" max="2816" width="12.625" style="67" customWidth="1"/>
    <col min="2817" max="2817" width="14.25" style="67" customWidth="1"/>
    <col min="2818" max="2819" width="13.375" style="67" customWidth="1"/>
    <col min="2820" max="2820" width="13.875" style="67" customWidth="1"/>
    <col min="2821" max="2829" width="9.625" style="67" customWidth="1"/>
    <col min="2830" max="2830" width="12.625" style="67" customWidth="1"/>
    <col min="2831" max="3066" width="8.625" style="67"/>
    <col min="3067" max="3067" width="34.75" style="67" customWidth="1"/>
    <col min="3068" max="3068" width="10.75" style="67" customWidth="1"/>
    <col min="3069" max="3069" width="11.375" style="67" customWidth="1"/>
    <col min="3070" max="3070" width="12.25" style="67" customWidth="1"/>
    <col min="3071" max="3071" width="13" style="67" customWidth="1"/>
    <col min="3072" max="3072" width="12.625" style="67" customWidth="1"/>
    <col min="3073" max="3073" width="14.25" style="67" customWidth="1"/>
    <col min="3074" max="3075" width="13.375" style="67" customWidth="1"/>
    <col min="3076" max="3076" width="13.875" style="67" customWidth="1"/>
    <col min="3077" max="3085" width="9.625" style="67" customWidth="1"/>
    <col min="3086" max="3086" width="12.625" style="67" customWidth="1"/>
    <col min="3087" max="3322" width="8.625" style="67"/>
    <col min="3323" max="3323" width="34.75" style="67" customWidth="1"/>
    <col min="3324" max="3324" width="10.75" style="67" customWidth="1"/>
    <col min="3325" max="3325" width="11.375" style="67" customWidth="1"/>
    <col min="3326" max="3326" width="12.25" style="67" customWidth="1"/>
    <col min="3327" max="3327" width="13" style="67" customWidth="1"/>
    <col min="3328" max="3328" width="12.625" style="67" customWidth="1"/>
    <col min="3329" max="3329" width="14.25" style="67" customWidth="1"/>
    <col min="3330" max="3331" width="13.375" style="67" customWidth="1"/>
    <col min="3332" max="3332" width="13.875" style="67" customWidth="1"/>
    <col min="3333" max="3341" width="9.625" style="67" customWidth="1"/>
    <col min="3342" max="3342" width="12.625" style="67" customWidth="1"/>
    <col min="3343" max="3578" width="8.625" style="67"/>
    <col min="3579" max="3579" width="34.75" style="67" customWidth="1"/>
    <col min="3580" max="3580" width="10.75" style="67" customWidth="1"/>
    <col min="3581" max="3581" width="11.375" style="67" customWidth="1"/>
    <col min="3582" max="3582" width="12.25" style="67" customWidth="1"/>
    <col min="3583" max="3583" width="13" style="67" customWidth="1"/>
    <col min="3584" max="3584" width="12.625" style="67" customWidth="1"/>
    <col min="3585" max="3585" width="14.25" style="67" customWidth="1"/>
    <col min="3586" max="3587" width="13.375" style="67" customWidth="1"/>
    <col min="3588" max="3588" width="13.875" style="67" customWidth="1"/>
    <col min="3589" max="3597" width="9.625" style="67" customWidth="1"/>
    <col min="3598" max="3598" width="12.625" style="67" customWidth="1"/>
    <col min="3599" max="3834" width="8.625" style="67"/>
    <col min="3835" max="3835" width="34.75" style="67" customWidth="1"/>
    <col min="3836" max="3836" width="10.75" style="67" customWidth="1"/>
    <col min="3837" max="3837" width="11.375" style="67" customWidth="1"/>
    <col min="3838" max="3838" width="12.25" style="67" customWidth="1"/>
    <col min="3839" max="3839" width="13" style="67" customWidth="1"/>
    <col min="3840" max="3840" width="12.625" style="67" customWidth="1"/>
    <col min="3841" max="3841" width="14.25" style="67" customWidth="1"/>
    <col min="3842" max="3843" width="13.375" style="67" customWidth="1"/>
    <col min="3844" max="3844" width="13.875" style="67" customWidth="1"/>
    <col min="3845" max="3853" width="9.625" style="67" customWidth="1"/>
    <col min="3854" max="3854" width="12.625" style="67" customWidth="1"/>
    <col min="3855" max="4090" width="8.625" style="67"/>
    <col min="4091" max="4091" width="34.75" style="67" customWidth="1"/>
    <col min="4092" max="4092" width="10.75" style="67" customWidth="1"/>
    <col min="4093" max="4093" width="11.375" style="67" customWidth="1"/>
    <col min="4094" max="4094" width="12.25" style="67" customWidth="1"/>
    <col min="4095" max="4095" width="13" style="67" customWidth="1"/>
    <col min="4096" max="4096" width="12.625" style="67" customWidth="1"/>
    <col min="4097" max="4097" width="14.25" style="67" customWidth="1"/>
    <col min="4098" max="4099" width="13.375" style="67" customWidth="1"/>
    <col min="4100" max="4100" width="13.875" style="67" customWidth="1"/>
    <col min="4101" max="4109" width="9.625" style="67" customWidth="1"/>
    <col min="4110" max="4110" width="12.625" style="67" customWidth="1"/>
    <col min="4111" max="4346" width="8.625" style="67"/>
    <col min="4347" max="4347" width="34.75" style="67" customWidth="1"/>
    <col min="4348" max="4348" width="10.75" style="67" customWidth="1"/>
    <col min="4349" max="4349" width="11.375" style="67" customWidth="1"/>
    <col min="4350" max="4350" width="12.25" style="67" customWidth="1"/>
    <col min="4351" max="4351" width="13" style="67" customWidth="1"/>
    <col min="4352" max="4352" width="12.625" style="67" customWidth="1"/>
    <col min="4353" max="4353" width="14.25" style="67" customWidth="1"/>
    <col min="4354" max="4355" width="13.375" style="67" customWidth="1"/>
    <col min="4356" max="4356" width="13.875" style="67" customWidth="1"/>
    <col min="4357" max="4365" width="9.625" style="67" customWidth="1"/>
    <col min="4366" max="4366" width="12.625" style="67" customWidth="1"/>
    <col min="4367" max="4602" width="8.625" style="67"/>
    <col min="4603" max="4603" width="34.75" style="67" customWidth="1"/>
    <col min="4604" max="4604" width="10.75" style="67" customWidth="1"/>
    <col min="4605" max="4605" width="11.375" style="67" customWidth="1"/>
    <col min="4606" max="4606" width="12.25" style="67" customWidth="1"/>
    <col min="4607" max="4607" width="13" style="67" customWidth="1"/>
    <col min="4608" max="4608" width="12.625" style="67" customWidth="1"/>
    <col min="4609" max="4609" width="14.25" style="67" customWidth="1"/>
    <col min="4610" max="4611" width="13.375" style="67" customWidth="1"/>
    <col min="4612" max="4612" width="13.875" style="67" customWidth="1"/>
    <col min="4613" max="4621" width="9.625" style="67" customWidth="1"/>
    <col min="4622" max="4622" width="12.625" style="67" customWidth="1"/>
    <col min="4623" max="4858" width="8.625" style="67"/>
    <col min="4859" max="4859" width="34.75" style="67" customWidth="1"/>
    <col min="4860" max="4860" width="10.75" style="67" customWidth="1"/>
    <col min="4861" max="4861" width="11.375" style="67" customWidth="1"/>
    <col min="4862" max="4862" width="12.25" style="67" customWidth="1"/>
    <col min="4863" max="4863" width="13" style="67" customWidth="1"/>
    <col min="4864" max="4864" width="12.625" style="67" customWidth="1"/>
    <col min="4865" max="4865" width="14.25" style="67" customWidth="1"/>
    <col min="4866" max="4867" width="13.375" style="67" customWidth="1"/>
    <col min="4868" max="4868" width="13.875" style="67" customWidth="1"/>
    <col min="4869" max="4877" width="9.625" style="67" customWidth="1"/>
    <col min="4878" max="4878" width="12.625" style="67" customWidth="1"/>
    <col min="4879" max="5114" width="8.625" style="67"/>
    <col min="5115" max="5115" width="34.75" style="67" customWidth="1"/>
    <col min="5116" max="5116" width="10.75" style="67" customWidth="1"/>
    <col min="5117" max="5117" width="11.375" style="67" customWidth="1"/>
    <col min="5118" max="5118" width="12.25" style="67" customWidth="1"/>
    <col min="5119" max="5119" width="13" style="67" customWidth="1"/>
    <col min="5120" max="5120" width="12.625" style="67" customWidth="1"/>
    <col min="5121" max="5121" width="14.25" style="67" customWidth="1"/>
    <col min="5122" max="5123" width="13.375" style="67" customWidth="1"/>
    <col min="5124" max="5124" width="13.875" style="67" customWidth="1"/>
    <col min="5125" max="5133" width="9.625" style="67" customWidth="1"/>
    <col min="5134" max="5134" width="12.625" style="67" customWidth="1"/>
    <col min="5135" max="5370" width="8.625" style="67"/>
    <col min="5371" max="5371" width="34.75" style="67" customWidth="1"/>
    <col min="5372" max="5372" width="10.75" style="67" customWidth="1"/>
    <col min="5373" max="5373" width="11.375" style="67" customWidth="1"/>
    <col min="5374" max="5374" width="12.25" style="67" customWidth="1"/>
    <col min="5375" max="5375" width="13" style="67" customWidth="1"/>
    <col min="5376" max="5376" width="12.625" style="67" customWidth="1"/>
    <col min="5377" max="5377" width="14.25" style="67" customWidth="1"/>
    <col min="5378" max="5379" width="13.375" style="67" customWidth="1"/>
    <col min="5380" max="5380" width="13.875" style="67" customWidth="1"/>
    <col min="5381" max="5389" width="9.625" style="67" customWidth="1"/>
    <col min="5390" max="5390" width="12.625" style="67" customWidth="1"/>
    <col min="5391" max="5626" width="8.625" style="67"/>
    <col min="5627" max="5627" width="34.75" style="67" customWidth="1"/>
    <col min="5628" max="5628" width="10.75" style="67" customWidth="1"/>
    <col min="5629" max="5629" width="11.375" style="67" customWidth="1"/>
    <col min="5630" max="5630" width="12.25" style="67" customWidth="1"/>
    <col min="5631" max="5631" width="13" style="67" customWidth="1"/>
    <col min="5632" max="5632" width="12.625" style="67" customWidth="1"/>
    <col min="5633" max="5633" width="14.25" style="67" customWidth="1"/>
    <col min="5634" max="5635" width="13.375" style="67" customWidth="1"/>
    <col min="5636" max="5636" width="13.875" style="67" customWidth="1"/>
    <col min="5637" max="5645" width="9.625" style="67" customWidth="1"/>
    <col min="5646" max="5646" width="12.625" style="67" customWidth="1"/>
    <col min="5647" max="5882" width="8.625" style="67"/>
    <col min="5883" max="5883" width="34.75" style="67" customWidth="1"/>
    <col min="5884" max="5884" width="10.75" style="67" customWidth="1"/>
    <col min="5885" max="5885" width="11.375" style="67" customWidth="1"/>
    <col min="5886" max="5886" width="12.25" style="67" customWidth="1"/>
    <col min="5887" max="5887" width="13" style="67" customWidth="1"/>
    <col min="5888" max="5888" width="12.625" style="67" customWidth="1"/>
    <col min="5889" max="5889" width="14.25" style="67" customWidth="1"/>
    <col min="5890" max="5891" width="13.375" style="67" customWidth="1"/>
    <col min="5892" max="5892" width="13.875" style="67" customWidth="1"/>
    <col min="5893" max="5901" width="9.625" style="67" customWidth="1"/>
    <col min="5902" max="5902" width="12.625" style="67" customWidth="1"/>
    <col min="5903" max="6138" width="8.625" style="67"/>
    <col min="6139" max="6139" width="34.75" style="67" customWidth="1"/>
    <col min="6140" max="6140" width="10.75" style="67" customWidth="1"/>
    <col min="6141" max="6141" width="11.375" style="67" customWidth="1"/>
    <col min="6142" max="6142" width="12.25" style="67" customWidth="1"/>
    <col min="6143" max="6143" width="13" style="67" customWidth="1"/>
    <col min="6144" max="6144" width="12.625" style="67" customWidth="1"/>
    <col min="6145" max="6145" width="14.25" style="67" customWidth="1"/>
    <col min="6146" max="6147" width="13.375" style="67" customWidth="1"/>
    <col min="6148" max="6148" width="13.875" style="67" customWidth="1"/>
    <col min="6149" max="6157" width="9.625" style="67" customWidth="1"/>
    <col min="6158" max="6158" width="12.625" style="67" customWidth="1"/>
    <col min="6159" max="6394" width="8.625" style="67"/>
    <col min="6395" max="6395" width="34.75" style="67" customWidth="1"/>
    <col min="6396" max="6396" width="10.75" style="67" customWidth="1"/>
    <col min="6397" max="6397" width="11.375" style="67" customWidth="1"/>
    <col min="6398" max="6398" width="12.25" style="67" customWidth="1"/>
    <col min="6399" max="6399" width="13" style="67" customWidth="1"/>
    <col min="6400" max="6400" width="12.625" style="67" customWidth="1"/>
    <col min="6401" max="6401" width="14.25" style="67" customWidth="1"/>
    <col min="6402" max="6403" width="13.375" style="67" customWidth="1"/>
    <col min="6404" max="6404" width="13.875" style="67" customWidth="1"/>
    <col min="6405" max="6413" width="9.625" style="67" customWidth="1"/>
    <col min="6414" max="6414" width="12.625" style="67" customWidth="1"/>
    <col min="6415" max="6650" width="8.625" style="67"/>
    <col min="6651" max="6651" width="34.75" style="67" customWidth="1"/>
    <col min="6652" max="6652" width="10.75" style="67" customWidth="1"/>
    <col min="6653" max="6653" width="11.375" style="67" customWidth="1"/>
    <col min="6654" max="6654" width="12.25" style="67" customWidth="1"/>
    <col min="6655" max="6655" width="13" style="67" customWidth="1"/>
    <col min="6656" max="6656" width="12.625" style="67" customWidth="1"/>
    <col min="6657" max="6657" width="14.25" style="67" customWidth="1"/>
    <col min="6658" max="6659" width="13.375" style="67" customWidth="1"/>
    <col min="6660" max="6660" width="13.875" style="67" customWidth="1"/>
    <col min="6661" max="6669" width="9.625" style="67" customWidth="1"/>
    <col min="6670" max="6670" width="12.625" style="67" customWidth="1"/>
    <col min="6671" max="6906" width="8.625" style="67"/>
    <col min="6907" max="6907" width="34.75" style="67" customWidth="1"/>
    <col min="6908" max="6908" width="10.75" style="67" customWidth="1"/>
    <col min="6909" max="6909" width="11.375" style="67" customWidth="1"/>
    <col min="6910" max="6910" width="12.25" style="67" customWidth="1"/>
    <col min="6911" max="6911" width="13" style="67" customWidth="1"/>
    <col min="6912" max="6912" width="12.625" style="67" customWidth="1"/>
    <col min="6913" max="6913" width="14.25" style="67" customWidth="1"/>
    <col min="6914" max="6915" width="13.375" style="67" customWidth="1"/>
    <col min="6916" max="6916" width="13.875" style="67" customWidth="1"/>
    <col min="6917" max="6925" width="9.625" style="67" customWidth="1"/>
    <col min="6926" max="6926" width="12.625" style="67" customWidth="1"/>
    <col min="6927" max="7162" width="8.625" style="67"/>
    <col min="7163" max="7163" width="34.75" style="67" customWidth="1"/>
    <col min="7164" max="7164" width="10.75" style="67" customWidth="1"/>
    <col min="7165" max="7165" width="11.375" style="67" customWidth="1"/>
    <col min="7166" max="7166" width="12.25" style="67" customWidth="1"/>
    <col min="7167" max="7167" width="13" style="67" customWidth="1"/>
    <col min="7168" max="7168" width="12.625" style="67" customWidth="1"/>
    <col min="7169" max="7169" width="14.25" style="67" customWidth="1"/>
    <col min="7170" max="7171" width="13.375" style="67" customWidth="1"/>
    <col min="7172" max="7172" width="13.875" style="67" customWidth="1"/>
    <col min="7173" max="7181" width="9.625" style="67" customWidth="1"/>
    <col min="7182" max="7182" width="12.625" style="67" customWidth="1"/>
    <col min="7183" max="7418" width="8.625" style="67"/>
    <col min="7419" max="7419" width="34.75" style="67" customWidth="1"/>
    <col min="7420" max="7420" width="10.75" style="67" customWidth="1"/>
    <col min="7421" max="7421" width="11.375" style="67" customWidth="1"/>
    <col min="7422" max="7422" width="12.25" style="67" customWidth="1"/>
    <col min="7423" max="7423" width="13" style="67" customWidth="1"/>
    <col min="7424" max="7424" width="12.625" style="67" customWidth="1"/>
    <col min="7425" max="7425" width="14.25" style="67" customWidth="1"/>
    <col min="7426" max="7427" width="13.375" style="67" customWidth="1"/>
    <col min="7428" max="7428" width="13.875" style="67" customWidth="1"/>
    <col min="7429" max="7437" width="9.625" style="67" customWidth="1"/>
    <col min="7438" max="7438" width="12.625" style="67" customWidth="1"/>
    <col min="7439" max="7674" width="8.625" style="67"/>
    <col min="7675" max="7675" width="34.75" style="67" customWidth="1"/>
    <col min="7676" max="7676" width="10.75" style="67" customWidth="1"/>
    <col min="7677" max="7677" width="11.375" style="67" customWidth="1"/>
    <col min="7678" max="7678" width="12.25" style="67" customWidth="1"/>
    <col min="7679" max="7679" width="13" style="67" customWidth="1"/>
    <col min="7680" max="7680" width="12.625" style="67" customWidth="1"/>
    <col min="7681" max="7681" width="14.25" style="67" customWidth="1"/>
    <col min="7682" max="7683" width="13.375" style="67" customWidth="1"/>
    <col min="7684" max="7684" width="13.875" style="67" customWidth="1"/>
    <col min="7685" max="7693" width="9.625" style="67" customWidth="1"/>
    <col min="7694" max="7694" width="12.625" style="67" customWidth="1"/>
    <col min="7695" max="7930" width="8.625" style="67"/>
    <col min="7931" max="7931" width="34.75" style="67" customWidth="1"/>
    <col min="7932" max="7932" width="10.75" style="67" customWidth="1"/>
    <col min="7933" max="7933" width="11.375" style="67" customWidth="1"/>
    <col min="7934" max="7934" width="12.25" style="67" customWidth="1"/>
    <col min="7935" max="7935" width="13" style="67" customWidth="1"/>
    <col min="7936" max="7936" width="12.625" style="67" customWidth="1"/>
    <col min="7937" max="7937" width="14.25" style="67" customWidth="1"/>
    <col min="7938" max="7939" width="13.375" style="67" customWidth="1"/>
    <col min="7940" max="7940" width="13.875" style="67" customWidth="1"/>
    <col min="7941" max="7949" width="9.625" style="67" customWidth="1"/>
    <col min="7950" max="7950" width="12.625" style="67" customWidth="1"/>
    <col min="7951" max="8186" width="8.625" style="67"/>
    <col min="8187" max="8187" width="34.75" style="67" customWidth="1"/>
    <col min="8188" max="8188" width="10.75" style="67" customWidth="1"/>
    <col min="8189" max="8189" width="11.375" style="67" customWidth="1"/>
    <col min="8190" max="8190" width="12.25" style="67" customWidth="1"/>
    <col min="8191" max="8191" width="13" style="67" customWidth="1"/>
    <col min="8192" max="8192" width="12.625" style="67" customWidth="1"/>
    <col min="8193" max="8193" width="14.25" style="67" customWidth="1"/>
    <col min="8194" max="8195" width="13.375" style="67" customWidth="1"/>
    <col min="8196" max="8196" width="13.875" style="67" customWidth="1"/>
    <col min="8197" max="8205" width="9.625" style="67" customWidth="1"/>
    <col min="8206" max="8206" width="12.625" style="67" customWidth="1"/>
    <col min="8207" max="8442" width="8.625" style="67"/>
    <col min="8443" max="8443" width="34.75" style="67" customWidth="1"/>
    <col min="8444" max="8444" width="10.75" style="67" customWidth="1"/>
    <col min="8445" max="8445" width="11.375" style="67" customWidth="1"/>
    <col min="8446" max="8446" width="12.25" style="67" customWidth="1"/>
    <col min="8447" max="8447" width="13" style="67" customWidth="1"/>
    <col min="8448" max="8448" width="12.625" style="67" customWidth="1"/>
    <col min="8449" max="8449" width="14.25" style="67" customWidth="1"/>
    <col min="8450" max="8451" width="13.375" style="67" customWidth="1"/>
    <col min="8452" max="8452" width="13.875" style="67" customWidth="1"/>
    <col min="8453" max="8461" width="9.625" style="67" customWidth="1"/>
    <col min="8462" max="8462" width="12.625" style="67" customWidth="1"/>
    <col min="8463" max="8698" width="8.625" style="67"/>
    <col min="8699" max="8699" width="34.75" style="67" customWidth="1"/>
    <col min="8700" max="8700" width="10.75" style="67" customWidth="1"/>
    <col min="8701" max="8701" width="11.375" style="67" customWidth="1"/>
    <col min="8702" max="8702" width="12.25" style="67" customWidth="1"/>
    <col min="8703" max="8703" width="13" style="67" customWidth="1"/>
    <col min="8704" max="8704" width="12.625" style="67" customWidth="1"/>
    <col min="8705" max="8705" width="14.25" style="67" customWidth="1"/>
    <col min="8706" max="8707" width="13.375" style="67" customWidth="1"/>
    <col min="8708" max="8708" width="13.875" style="67" customWidth="1"/>
    <col min="8709" max="8717" width="9.625" style="67" customWidth="1"/>
    <col min="8718" max="8718" width="12.625" style="67" customWidth="1"/>
    <col min="8719" max="8954" width="8.625" style="67"/>
    <col min="8955" max="8955" width="34.75" style="67" customWidth="1"/>
    <col min="8956" max="8956" width="10.75" style="67" customWidth="1"/>
    <col min="8957" max="8957" width="11.375" style="67" customWidth="1"/>
    <col min="8958" max="8958" width="12.25" style="67" customWidth="1"/>
    <col min="8959" max="8959" width="13" style="67" customWidth="1"/>
    <col min="8960" max="8960" width="12.625" style="67" customWidth="1"/>
    <col min="8961" max="8961" width="14.25" style="67" customWidth="1"/>
    <col min="8962" max="8963" width="13.375" style="67" customWidth="1"/>
    <col min="8964" max="8964" width="13.875" style="67" customWidth="1"/>
    <col min="8965" max="8973" width="9.625" style="67" customWidth="1"/>
    <col min="8974" max="8974" width="12.625" style="67" customWidth="1"/>
    <col min="8975" max="9210" width="8.625" style="67"/>
    <col min="9211" max="9211" width="34.75" style="67" customWidth="1"/>
    <col min="9212" max="9212" width="10.75" style="67" customWidth="1"/>
    <col min="9213" max="9213" width="11.375" style="67" customWidth="1"/>
    <col min="9214" max="9214" width="12.25" style="67" customWidth="1"/>
    <col min="9215" max="9215" width="13" style="67" customWidth="1"/>
    <col min="9216" max="9216" width="12.625" style="67" customWidth="1"/>
    <col min="9217" max="9217" width="14.25" style="67" customWidth="1"/>
    <col min="9218" max="9219" width="13.375" style="67" customWidth="1"/>
    <col min="9220" max="9220" width="13.875" style="67" customWidth="1"/>
    <col min="9221" max="9229" width="9.625" style="67" customWidth="1"/>
    <col min="9230" max="9230" width="12.625" style="67" customWidth="1"/>
    <col min="9231" max="9466" width="8.625" style="67"/>
    <col min="9467" max="9467" width="34.75" style="67" customWidth="1"/>
    <col min="9468" max="9468" width="10.75" style="67" customWidth="1"/>
    <col min="9469" max="9469" width="11.375" style="67" customWidth="1"/>
    <col min="9470" max="9470" width="12.25" style="67" customWidth="1"/>
    <col min="9471" max="9471" width="13" style="67" customWidth="1"/>
    <col min="9472" max="9472" width="12.625" style="67" customWidth="1"/>
    <col min="9473" max="9473" width="14.25" style="67" customWidth="1"/>
    <col min="9474" max="9475" width="13.375" style="67" customWidth="1"/>
    <col min="9476" max="9476" width="13.875" style="67" customWidth="1"/>
    <col min="9477" max="9485" width="9.625" style="67" customWidth="1"/>
    <col min="9486" max="9486" width="12.625" style="67" customWidth="1"/>
    <col min="9487" max="9722" width="8.625" style="67"/>
    <col min="9723" max="9723" width="34.75" style="67" customWidth="1"/>
    <col min="9724" max="9724" width="10.75" style="67" customWidth="1"/>
    <col min="9725" max="9725" width="11.375" style="67" customWidth="1"/>
    <col min="9726" max="9726" width="12.25" style="67" customWidth="1"/>
    <col min="9727" max="9727" width="13" style="67" customWidth="1"/>
    <col min="9728" max="9728" width="12.625" style="67" customWidth="1"/>
    <col min="9729" max="9729" width="14.25" style="67" customWidth="1"/>
    <col min="9730" max="9731" width="13.375" style="67" customWidth="1"/>
    <col min="9732" max="9732" width="13.875" style="67" customWidth="1"/>
    <col min="9733" max="9741" width="9.625" style="67" customWidth="1"/>
    <col min="9742" max="9742" width="12.625" style="67" customWidth="1"/>
    <col min="9743" max="9978" width="8.625" style="67"/>
    <col min="9979" max="9979" width="34.75" style="67" customWidth="1"/>
    <col min="9980" max="9980" width="10.75" style="67" customWidth="1"/>
    <col min="9981" max="9981" width="11.375" style="67" customWidth="1"/>
    <col min="9982" max="9982" width="12.25" style="67" customWidth="1"/>
    <col min="9983" max="9983" width="13" style="67" customWidth="1"/>
    <col min="9984" max="9984" width="12.625" style="67" customWidth="1"/>
    <col min="9985" max="9985" width="14.25" style="67" customWidth="1"/>
    <col min="9986" max="9987" width="13.375" style="67" customWidth="1"/>
    <col min="9988" max="9988" width="13.875" style="67" customWidth="1"/>
    <col min="9989" max="9997" width="9.625" style="67" customWidth="1"/>
    <col min="9998" max="9998" width="12.625" style="67" customWidth="1"/>
    <col min="9999" max="10234" width="8.625" style="67"/>
    <col min="10235" max="10235" width="34.75" style="67" customWidth="1"/>
    <col min="10236" max="10236" width="10.75" style="67" customWidth="1"/>
    <col min="10237" max="10237" width="11.375" style="67" customWidth="1"/>
    <col min="10238" max="10238" width="12.25" style="67" customWidth="1"/>
    <col min="10239" max="10239" width="13" style="67" customWidth="1"/>
    <col min="10240" max="10240" width="12.625" style="67" customWidth="1"/>
    <col min="10241" max="10241" width="14.25" style="67" customWidth="1"/>
    <col min="10242" max="10243" width="13.375" style="67" customWidth="1"/>
    <col min="10244" max="10244" width="13.875" style="67" customWidth="1"/>
    <col min="10245" max="10253" width="9.625" style="67" customWidth="1"/>
    <col min="10254" max="10254" width="12.625" style="67" customWidth="1"/>
    <col min="10255" max="10490" width="8.625" style="67"/>
    <col min="10491" max="10491" width="34.75" style="67" customWidth="1"/>
    <col min="10492" max="10492" width="10.75" style="67" customWidth="1"/>
    <col min="10493" max="10493" width="11.375" style="67" customWidth="1"/>
    <col min="10494" max="10494" width="12.25" style="67" customWidth="1"/>
    <col min="10495" max="10495" width="13" style="67" customWidth="1"/>
    <col min="10496" max="10496" width="12.625" style="67" customWidth="1"/>
    <col min="10497" max="10497" width="14.25" style="67" customWidth="1"/>
    <col min="10498" max="10499" width="13.375" style="67" customWidth="1"/>
    <col min="10500" max="10500" width="13.875" style="67" customWidth="1"/>
    <col min="10501" max="10509" width="9.625" style="67" customWidth="1"/>
    <col min="10510" max="10510" width="12.625" style="67" customWidth="1"/>
    <col min="10511" max="10746" width="8.625" style="67"/>
    <col min="10747" max="10747" width="34.75" style="67" customWidth="1"/>
    <col min="10748" max="10748" width="10.75" style="67" customWidth="1"/>
    <col min="10749" max="10749" width="11.375" style="67" customWidth="1"/>
    <col min="10750" max="10750" width="12.25" style="67" customWidth="1"/>
    <col min="10751" max="10751" width="13" style="67" customWidth="1"/>
    <col min="10752" max="10752" width="12.625" style="67" customWidth="1"/>
    <col min="10753" max="10753" width="14.25" style="67" customWidth="1"/>
    <col min="10754" max="10755" width="13.375" style="67" customWidth="1"/>
    <col min="10756" max="10756" width="13.875" style="67" customWidth="1"/>
    <col min="10757" max="10765" width="9.625" style="67" customWidth="1"/>
    <col min="10766" max="10766" width="12.625" style="67" customWidth="1"/>
    <col min="10767" max="11002" width="8.625" style="67"/>
    <col min="11003" max="11003" width="34.75" style="67" customWidth="1"/>
    <col min="11004" max="11004" width="10.75" style="67" customWidth="1"/>
    <col min="11005" max="11005" width="11.375" style="67" customWidth="1"/>
    <col min="11006" max="11006" width="12.25" style="67" customWidth="1"/>
    <col min="11007" max="11007" width="13" style="67" customWidth="1"/>
    <col min="11008" max="11008" width="12.625" style="67" customWidth="1"/>
    <col min="11009" max="11009" width="14.25" style="67" customWidth="1"/>
    <col min="11010" max="11011" width="13.375" style="67" customWidth="1"/>
    <col min="11012" max="11012" width="13.875" style="67" customWidth="1"/>
    <col min="11013" max="11021" width="9.625" style="67" customWidth="1"/>
    <col min="11022" max="11022" width="12.625" style="67" customWidth="1"/>
    <col min="11023" max="11258" width="8.625" style="67"/>
    <col min="11259" max="11259" width="34.75" style="67" customWidth="1"/>
    <col min="11260" max="11260" width="10.75" style="67" customWidth="1"/>
    <col min="11261" max="11261" width="11.375" style="67" customWidth="1"/>
    <col min="11262" max="11262" width="12.25" style="67" customWidth="1"/>
    <col min="11263" max="11263" width="13" style="67" customWidth="1"/>
    <col min="11264" max="11264" width="12.625" style="67" customWidth="1"/>
    <col min="11265" max="11265" width="14.25" style="67" customWidth="1"/>
    <col min="11266" max="11267" width="13.375" style="67" customWidth="1"/>
    <col min="11268" max="11268" width="13.875" style="67" customWidth="1"/>
    <col min="11269" max="11277" width="9.625" style="67" customWidth="1"/>
    <col min="11278" max="11278" width="12.625" style="67" customWidth="1"/>
    <col min="11279" max="11514" width="8.625" style="67"/>
    <col min="11515" max="11515" width="34.75" style="67" customWidth="1"/>
    <col min="11516" max="11516" width="10.75" style="67" customWidth="1"/>
    <col min="11517" max="11517" width="11.375" style="67" customWidth="1"/>
    <col min="11518" max="11518" width="12.25" style="67" customWidth="1"/>
    <col min="11519" max="11519" width="13" style="67" customWidth="1"/>
    <col min="11520" max="11520" width="12.625" style="67" customWidth="1"/>
    <col min="11521" max="11521" width="14.25" style="67" customWidth="1"/>
    <col min="11522" max="11523" width="13.375" style="67" customWidth="1"/>
    <col min="11524" max="11524" width="13.875" style="67" customWidth="1"/>
    <col min="11525" max="11533" width="9.625" style="67" customWidth="1"/>
    <col min="11534" max="11534" width="12.625" style="67" customWidth="1"/>
    <col min="11535" max="11770" width="8.625" style="67"/>
    <col min="11771" max="11771" width="34.75" style="67" customWidth="1"/>
    <col min="11772" max="11772" width="10.75" style="67" customWidth="1"/>
    <col min="11773" max="11773" width="11.375" style="67" customWidth="1"/>
    <col min="11774" max="11774" width="12.25" style="67" customWidth="1"/>
    <col min="11775" max="11775" width="13" style="67" customWidth="1"/>
    <col min="11776" max="11776" width="12.625" style="67" customWidth="1"/>
    <col min="11777" max="11777" width="14.25" style="67" customWidth="1"/>
    <col min="11778" max="11779" width="13.375" style="67" customWidth="1"/>
    <col min="11780" max="11780" width="13.875" style="67" customWidth="1"/>
    <col min="11781" max="11789" width="9.625" style="67" customWidth="1"/>
    <col min="11790" max="11790" width="12.625" style="67" customWidth="1"/>
    <col min="11791" max="12026" width="8.625" style="67"/>
    <col min="12027" max="12027" width="34.75" style="67" customWidth="1"/>
    <col min="12028" max="12028" width="10.75" style="67" customWidth="1"/>
    <col min="12029" max="12029" width="11.375" style="67" customWidth="1"/>
    <col min="12030" max="12030" width="12.25" style="67" customWidth="1"/>
    <col min="12031" max="12031" width="13" style="67" customWidth="1"/>
    <col min="12032" max="12032" width="12.625" style="67" customWidth="1"/>
    <col min="12033" max="12033" width="14.25" style="67" customWidth="1"/>
    <col min="12034" max="12035" width="13.375" style="67" customWidth="1"/>
    <col min="12036" max="12036" width="13.875" style="67" customWidth="1"/>
    <col min="12037" max="12045" width="9.625" style="67" customWidth="1"/>
    <col min="12046" max="12046" width="12.625" style="67" customWidth="1"/>
    <col min="12047" max="12282" width="8.625" style="67"/>
    <col min="12283" max="12283" width="34.75" style="67" customWidth="1"/>
    <col min="12284" max="12284" width="10.75" style="67" customWidth="1"/>
    <col min="12285" max="12285" width="11.375" style="67" customWidth="1"/>
    <col min="12286" max="12286" width="12.25" style="67" customWidth="1"/>
    <col min="12287" max="12287" width="13" style="67" customWidth="1"/>
    <col min="12288" max="12288" width="12.625" style="67" customWidth="1"/>
    <col min="12289" max="12289" width="14.25" style="67" customWidth="1"/>
    <col min="12290" max="12291" width="13.375" style="67" customWidth="1"/>
    <col min="12292" max="12292" width="13.875" style="67" customWidth="1"/>
    <col min="12293" max="12301" width="9.625" style="67" customWidth="1"/>
    <col min="12302" max="12302" width="12.625" style="67" customWidth="1"/>
    <col min="12303" max="12538" width="8.625" style="67"/>
    <col min="12539" max="12539" width="34.75" style="67" customWidth="1"/>
    <col min="12540" max="12540" width="10.75" style="67" customWidth="1"/>
    <col min="12541" max="12541" width="11.375" style="67" customWidth="1"/>
    <col min="12542" max="12542" width="12.25" style="67" customWidth="1"/>
    <col min="12543" max="12543" width="13" style="67" customWidth="1"/>
    <col min="12544" max="12544" width="12.625" style="67" customWidth="1"/>
    <col min="12545" max="12545" width="14.25" style="67" customWidth="1"/>
    <col min="12546" max="12547" width="13.375" style="67" customWidth="1"/>
    <col min="12548" max="12548" width="13.875" style="67" customWidth="1"/>
    <col min="12549" max="12557" width="9.625" style="67" customWidth="1"/>
    <col min="12558" max="12558" width="12.625" style="67" customWidth="1"/>
    <col min="12559" max="12794" width="8.625" style="67"/>
    <col min="12795" max="12795" width="34.75" style="67" customWidth="1"/>
    <col min="12796" max="12796" width="10.75" style="67" customWidth="1"/>
    <col min="12797" max="12797" width="11.375" style="67" customWidth="1"/>
    <col min="12798" max="12798" width="12.25" style="67" customWidth="1"/>
    <col min="12799" max="12799" width="13" style="67" customWidth="1"/>
    <col min="12800" max="12800" width="12.625" style="67" customWidth="1"/>
    <col min="12801" max="12801" width="14.25" style="67" customWidth="1"/>
    <col min="12802" max="12803" width="13.375" style="67" customWidth="1"/>
    <col min="12804" max="12804" width="13.875" style="67" customWidth="1"/>
    <col min="12805" max="12813" width="9.625" style="67" customWidth="1"/>
    <col min="12814" max="12814" width="12.625" style="67" customWidth="1"/>
    <col min="12815" max="13050" width="8.625" style="67"/>
    <col min="13051" max="13051" width="34.75" style="67" customWidth="1"/>
    <col min="13052" max="13052" width="10.75" style="67" customWidth="1"/>
    <col min="13053" max="13053" width="11.375" style="67" customWidth="1"/>
    <col min="13054" max="13054" width="12.25" style="67" customWidth="1"/>
    <col min="13055" max="13055" width="13" style="67" customWidth="1"/>
    <col min="13056" max="13056" width="12.625" style="67" customWidth="1"/>
    <col min="13057" max="13057" width="14.25" style="67" customWidth="1"/>
    <col min="13058" max="13059" width="13.375" style="67" customWidth="1"/>
    <col min="13060" max="13060" width="13.875" style="67" customWidth="1"/>
    <col min="13061" max="13069" width="9.625" style="67" customWidth="1"/>
    <col min="13070" max="13070" width="12.625" style="67" customWidth="1"/>
    <col min="13071" max="13306" width="8.625" style="67"/>
    <col min="13307" max="13307" width="34.75" style="67" customWidth="1"/>
    <col min="13308" max="13308" width="10.75" style="67" customWidth="1"/>
    <col min="13309" max="13309" width="11.375" style="67" customWidth="1"/>
    <col min="13310" max="13310" width="12.25" style="67" customWidth="1"/>
    <col min="13311" max="13311" width="13" style="67" customWidth="1"/>
    <col min="13312" max="13312" width="12.625" style="67" customWidth="1"/>
    <col min="13313" max="13313" width="14.25" style="67" customWidth="1"/>
    <col min="13314" max="13315" width="13.375" style="67" customWidth="1"/>
    <col min="13316" max="13316" width="13.875" style="67" customWidth="1"/>
    <col min="13317" max="13325" width="9.625" style="67" customWidth="1"/>
    <col min="13326" max="13326" width="12.625" style="67" customWidth="1"/>
    <col min="13327" max="13562" width="8.625" style="67"/>
    <col min="13563" max="13563" width="34.75" style="67" customWidth="1"/>
    <col min="13564" max="13564" width="10.75" style="67" customWidth="1"/>
    <col min="13565" max="13565" width="11.375" style="67" customWidth="1"/>
    <col min="13566" max="13566" width="12.25" style="67" customWidth="1"/>
    <col min="13567" max="13567" width="13" style="67" customWidth="1"/>
    <col min="13568" max="13568" width="12.625" style="67" customWidth="1"/>
    <col min="13569" max="13569" width="14.25" style="67" customWidth="1"/>
    <col min="13570" max="13571" width="13.375" style="67" customWidth="1"/>
    <col min="13572" max="13572" width="13.875" style="67" customWidth="1"/>
    <col min="13573" max="13581" width="9.625" style="67" customWidth="1"/>
    <col min="13582" max="13582" width="12.625" style="67" customWidth="1"/>
    <col min="13583" max="13818" width="8.625" style="67"/>
    <col min="13819" max="13819" width="34.75" style="67" customWidth="1"/>
    <col min="13820" max="13820" width="10.75" style="67" customWidth="1"/>
    <col min="13821" max="13821" width="11.375" style="67" customWidth="1"/>
    <col min="13822" max="13822" width="12.25" style="67" customWidth="1"/>
    <col min="13823" max="13823" width="13" style="67" customWidth="1"/>
    <col min="13824" max="13824" width="12.625" style="67" customWidth="1"/>
    <col min="13825" max="13825" width="14.25" style="67" customWidth="1"/>
    <col min="13826" max="13827" width="13.375" style="67" customWidth="1"/>
    <col min="13828" max="13828" width="13.875" style="67" customWidth="1"/>
    <col min="13829" max="13837" width="9.625" style="67" customWidth="1"/>
    <col min="13838" max="13838" width="12.625" style="67" customWidth="1"/>
    <col min="13839" max="14074" width="8.625" style="67"/>
    <col min="14075" max="14075" width="34.75" style="67" customWidth="1"/>
    <col min="14076" max="14076" width="10.75" style="67" customWidth="1"/>
    <col min="14077" max="14077" width="11.375" style="67" customWidth="1"/>
    <col min="14078" max="14078" width="12.25" style="67" customWidth="1"/>
    <col min="14079" max="14079" width="13" style="67" customWidth="1"/>
    <col min="14080" max="14080" width="12.625" style="67" customWidth="1"/>
    <col min="14081" max="14081" width="14.25" style="67" customWidth="1"/>
    <col min="14082" max="14083" width="13.375" style="67" customWidth="1"/>
    <col min="14084" max="14084" width="13.875" style="67" customWidth="1"/>
    <col min="14085" max="14093" width="9.625" style="67" customWidth="1"/>
    <col min="14094" max="14094" width="12.625" style="67" customWidth="1"/>
    <col min="14095" max="14330" width="8.625" style="67"/>
    <col min="14331" max="14331" width="34.75" style="67" customWidth="1"/>
    <col min="14332" max="14332" width="10.75" style="67" customWidth="1"/>
    <col min="14333" max="14333" width="11.375" style="67" customWidth="1"/>
    <col min="14334" max="14334" width="12.25" style="67" customWidth="1"/>
    <col min="14335" max="14335" width="13" style="67" customWidth="1"/>
    <col min="14336" max="14336" width="12.625" style="67" customWidth="1"/>
    <col min="14337" max="14337" width="14.25" style="67" customWidth="1"/>
    <col min="14338" max="14339" width="13.375" style="67" customWidth="1"/>
    <col min="14340" max="14340" width="13.875" style="67" customWidth="1"/>
    <col min="14341" max="14349" width="9.625" style="67" customWidth="1"/>
    <col min="14350" max="14350" width="12.625" style="67" customWidth="1"/>
    <col min="14351" max="14586" width="8.625" style="67"/>
    <col min="14587" max="14587" width="34.75" style="67" customWidth="1"/>
    <col min="14588" max="14588" width="10.75" style="67" customWidth="1"/>
    <col min="14589" max="14589" width="11.375" style="67" customWidth="1"/>
    <col min="14590" max="14590" width="12.25" style="67" customWidth="1"/>
    <col min="14591" max="14591" width="13" style="67" customWidth="1"/>
    <col min="14592" max="14592" width="12.625" style="67" customWidth="1"/>
    <col min="14593" max="14593" width="14.25" style="67" customWidth="1"/>
    <col min="14594" max="14595" width="13.375" style="67" customWidth="1"/>
    <col min="14596" max="14596" width="13.875" style="67" customWidth="1"/>
    <col min="14597" max="14605" width="9.625" style="67" customWidth="1"/>
    <col min="14606" max="14606" width="12.625" style="67" customWidth="1"/>
    <col min="14607" max="14842" width="8.625" style="67"/>
    <col min="14843" max="14843" width="34.75" style="67" customWidth="1"/>
    <col min="14844" max="14844" width="10.75" style="67" customWidth="1"/>
    <col min="14845" max="14845" width="11.375" style="67" customWidth="1"/>
    <col min="14846" max="14846" width="12.25" style="67" customWidth="1"/>
    <col min="14847" max="14847" width="13" style="67" customWidth="1"/>
    <col min="14848" max="14848" width="12.625" style="67" customWidth="1"/>
    <col min="14849" max="14849" width="14.25" style="67" customWidth="1"/>
    <col min="14850" max="14851" width="13.375" style="67" customWidth="1"/>
    <col min="14852" max="14852" width="13.875" style="67" customWidth="1"/>
    <col min="14853" max="14861" width="9.625" style="67" customWidth="1"/>
    <col min="14862" max="14862" width="12.625" style="67" customWidth="1"/>
    <col min="14863" max="15098" width="8.625" style="67"/>
    <col min="15099" max="15099" width="34.75" style="67" customWidth="1"/>
    <col min="15100" max="15100" width="10.75" style="67" customWidth="1"/>
    <col min="15101" max="15101" width="11.375" style="67" customWidth="1"/>
    <col min="15102" max="15102" width="12.25" style="67" customWidth="1"/>
    <col min="15103" max="15103" width="13" style="67" customWidth="1"/>
    <col min="15104" max="15104" width="12.625" style="67" customWidth="1"/>
    <col min="15105" max="15105" width="14.25" style="67" customWidth="1"/>
    <col min="15106" max="15107" width="13.375" style="67" customWidth="1"/>
    <col min="15108" max="15108" width="13.875" style="67" customWidth="1"/>
    <col min="15109" max="15117" width="9.625" style="67" customWidth="1"/>
    <col min="15118" max="15118" width="12.625" style="67" customWidth="1"/>
    <col min="15119" max="15354" width="8.625" style="67"/>
    <col min="15355" max="15355" width="34.75" style="67" customWidth="1"/>
    <col min="15356" max="15356" width="10.75" style="67" customWidth="1"/>
    <col min="15357" max="15357" width="11.375" style="67" customWidth="1"/>
    <col min="15358" max="15358" width="12.25" style="67" customWidth="1"/>
    <col min="15359" max="15359" width="13" style="67" customWidth="1"/>
    <col min="15360" max="15360" width="12.625" style="67" customWidth="1"/>
    <col min="15361" max="15361" width="14.25" style="67" customWidth="1"/>
    <col min="15362" max="15363" width="13.375" style="67" customWidth="1"/>
    <col min="15364" max="15364" width="13.875" style="67" customWidth="1"/>
    <col min="15365" max="15373" width="9.625" style="67" customWidth="1"/>
    <col min="15374" max="15374" width="12.625" style="67" customWidth="1"/>
    <col min="15375" max="15610" width="8.625" style="67"/>
    <col min="15611" max="15611" width="34.75" style="67" customWidth="1"/>
    <col min="15612" max="15612" width="10.75" style="67" customWidth="1"/>
    <col min="15613" max="15613" width="11.375" style="67" customWidth="1"/>
    <col min="15614" max="15614" width="12.25" style="67" customWidth="1"/>
    <col min="15615" max="15615" width="13" style="67" customWidth="1"/>
    <col min="15616" max="15616" width="12.625" style="67" customWidth="1"/>
    <col min="15617" max="15617" width="14.25" style="67" customWidth="1"/>
    <col min="15618" max="15619" width="13.375" style="67" customWidth="1"/>
    <col min="15620" max="15620" width="13.875" style="67" customWidth="1"/>
    <col min="15621" max="15629" width="9.625" style="67" customWidth="1"/>
    <col min="15630" max="15630" width="12.625" style="67" customWidth="1"/>
    <col min="15631" max="15866" width="8.625" style="67"/>
    <col min="15867" max="15867" width="34.75" style="67" customWidth="1"/>
    <col min="15868" max="15868" width="10.75" style="67" customWidth="1"/>
    <col min="15869" max="15869" width="11.375" style="67" customWidth="1"/>
    <col min="15870" max="15870" width="12.25" style="67" customWidth="1"/>
    <col min="15871" max="15871" width="13" style="67" customWidth="1"/>
    <col min="15872" max="15872" width="12.625" style="67" customWidth="1"/>
    <col min="15873" max="15873" width="14.25" style="67" customWidth="1"/>
    <col min="15874" max="15875" width="13.375" style="67" customWidth="1"/>
    <col min="15876" max="15876" width="13.875" style="67" customWidth="1"/>
    <col min="15877" max="15885" width="9.625" style="67" customWidth="1"/>
    <col min="15886" max="15886" width="12.625" style="67" customWidth="1"/>
    <col min="15887" max="16122" width="8.625" style="67"/>
    <col min="16123" max="16123" width="34.75" style="67" customWidth="1"/>
    <col min="16124" max="16124" width="10.75" style="67" customWidth="1"/>
    <col min="16125" max="16125" width="11.375" style="67" customWidth="1"/>
    <col min="16126" max="16126" width="12.25" style="67" customWidth="1"/>
    <col min="16127" max="16127" width="13" style="67" customWidth="1"/>
    <col min="16128" max="16128" width="12.625" style="67" customWidth="1"/>
    <col min="16129" max="16129" width="14.25" style="67" customWidth="1"/>
    <col min="16130" max="16131" width="13.375" style="67" customWidth="1"/>
    <col min="16132" max="16132" width="13.875" style="67" customWidth="1"/>
    <col min="16133" max="16141" width="9.625" style="67" customWidth="1"/>
    <col min="16142" max="16142" width="12.625" style="67" customWidth="1"/>
    <col min="16143" max="16384" width="8.625" style="67"/>
  </cols>
  <sheetData>
    <row r="1" spans="1:16" s="65" customFormat="1" ht="13.5" customHeight="1" x14ac:dyDescent="0.2">
      <c r="A1" s="500" t="s">
        <v>440</v>
      </c>
      <c r="B1" s="501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3"/>
      <c r="P1" s="504"/>
    </row>
    <row r="2" spans="1:16" ht="13.5" customHeight="1" x14ac:dyDescent="0.2">
      <c r="A2" s="209"/>
      <c r="B2" s="423"/>
      <c r="C2" s="505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424"/>
      <c r="P2" s="507"/>
    </row>
    <row r="3" spans="1:16" s="96" customFormat="1" x14ac:dyDescent="0.2">
      <c r="A3" s="508" t="s">
        <v>80</v>
      </c>
      <c r="B3" s="69" t="s">
        <v>28</v>
      </c>
      <c r="C3" s="505" t="s">
        <v>29</v>
      </c>
      <c r="D3" s="505" t="s">
        <v>30</v>
      </c>
      <c r="E3" s="505" t="s">
        <v>31</v>
      </c>
      <c r="F3" s="505" t="s">
        <v>32</v>
      </c>
      <c r="G3" s="505" t="s">
        <v>248</v>
      </c>
      <c r="H3" s="505" t="s">
        <v>251</v>
      </c>
      <c r="I3" s="505" t="s">
        <v>262</v>
      </c>
      <c r="J3" s="505" t="s">
        <v>302</v>
      </c>
      <c r="K3" s="505" t="s">
        <v>350</v>
      </c>
      <c r="L3" s="505"/>
      <c r="M3" s="509" t="s">
        <v>350</v>
      </c>
      <c r="N3" s="509" t="s">
        <v>393</v>
      </c>
      <c r="O3" s="206" t="s">
        <v>425</v>
      </c>
      <c r="P3" s="510"/>
    </row>
    <row r="4" spans="1:16" s="96" customFormat="1" x14ac:dyDescent="0.2">
      <c r="A4" s="508" t="s">
        <v>81</v>
      </c>
      <c r="B4" s="426" t="s">
        <v>82</v>
      </c>
      <c r="C4" s="426" t="s">
        <v>82</v>
      </c>
      <c r="D4" s="426" t="s">
        <v>82</v>
      </c>
      <c r="E4" s="426" t="s">
        <v>82</v>
      </c>
      <c r="F4" s="426" t="s">
        <v>82</v>
      </c>
      <c r="G4" s="426" t="s">
        <v>82</v>
      </c>
      <c r="H4" s="426" t="s">
        <v>82</v>
      </c>
      <c r="I4" s="426" t="s">
        <v>82</v>
      </c>
      <c r="J4" s="426" t="s">
        <v>82</v>
      </c>
      <c r="K4" s="426" t="s">
        <v>82</v>
      </c>
      <c r="L4" s="426"/>
      <c r="M4" s="427" t="s">
        <v>408</v>
      </c>
      <c r="N4" s="427" t="s">
        <v>408</v>
      </c>
      <c r="O4" s="207" t="s">
        <v>382</v>
      </c>
      <c r="P4" s="511"/>
    </row>
    <row r="5" spans="1:16" s="148" customFormat="1" ht="13.5" customHeight="1" thickBot="1" x14ac:dyDescent="0.25">
      <c r="A5" s="512" t="s">
        <v>83</v>
      </c>
      <c r="B5" s="308" t="s">
        <v>84</v>
      </c>
      <c r="C5" s="308" t="s">
        <v>84</v>
      </c>
      <c r="D5" s="308" t="s">
        <v>84</v>
      </c>
      <c r="E5" s="308" t="s">
        <v>84</v>
      </c>
      <c r="F5" s="308" t="s">
        <v>84</v>
      </c>
      <c r="G5" s="308" t="s">
        <v>84</v>
      </c>
      <c r="H5" s="308" t="s">
        <v>84</v>
      </c>
      <c r="I5" s="308" t="s">
        <v>84</v>
      </c>
      <c r="J5" s="308" t="s">
        <v>84</v>
      </c>
      <c r="K5" s="308" t="s">
        <v>84</v>
      </c>
      <c r="L5" s="308"/>
      <c r="M5" s="273" t="s">
        <v>54</v>
      </c>
      <c r="N5" s="273" t="str">
        <f>M5</f>
        <v>April</v>
      </c>
      <c r="O5" s="309" t="s">
        <v>367</v>
      </c>
      <c r="P5" s="513" t="s">
        <v>21</v>
      </c>
    </row>
    <row r="6" spans="1:16" ht="14.25" customHeight="1" x14ac:dyDescent="0.2">
      <c r="A6" s="514" t="s">
        <v>353</v>
      </c>
      <c r="B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169"/>
      <c r="P6" s="515"/>
    </row>
    <row r="7" spans="1:16" ht="12.75" customHeight="1" x14ac:dyDescent="0.2">
      <c r="A7" s="516" t="s">
        <v>1</v>
      </c>
      <c r="B7" s="517"/>
      <c r="C7" s="80"/>
      <c r="D7" s="517"/>
      <c r="E7" s="71"/>
      <c r="F7" s="517"/>
      <c r="G7" s="517"/>
      <c r="H7" s="517" t="s">
        <v>439</v>
      </c>
      <c r="I7" s="71"/>
      <c r="J7" s="71"/>
      <c r="K7" s="71"/>
      <c r="L7" s="71"/>
      <c r="M7" s="71"/>
      <c r="N7" s="71"/>
      <c r="O7" s="163"/>
      <c r="P7" s="518"/>
    </row>
    <row r="8" spans="1:16" ht="6.75" customHeight="1" x14ac:dyDescent="0.2">
      <c r="A8" s="519"/>
      <c r="B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163"/>
      <c r="P8" s="518"/>
    </row>
    <row r="9" spans="1:16" x14ac:dyDescent="0.2">
      <c r="A9" s="520" t="s">
        <v>86</v>
      </c>
      <c r="B9" s="601">
        <v>647.06150000000002</v>
      </c>
      <c r="C9" s="601">
        <v>703.14159999999981</v>
      </c>
      <c r="D9" s="601">
        <v>676.7881000000001</v>
      </c>
      <c r="E9" s="601">
        <v>692.72609999999997</v>
      </c>
      <c r="F9" s="601">
        <v>794.70770000000005</v>
      </c>
      <c r="G9" s="601">
        <v>831.22559999999999</v>
      </c>
      <c r="H9" s="601">
        <v>1066.1061000000002</v>
      </c>
      <c r="I9" s="601">
        <v>924.80240000000003</v>
      </c>
      <c r="J9" s="601">
        <v>1126.0537000000002</v>
      </c>
      <c r="K9" s="601">
        <v>1122.3</v>
      </c>
      <c r="L9" s="601"/>
      <c r="M9" s="602">
        <v>810.87</v>
      </c>
      <c r="N9" s="602">
        <v>952.43470000000002</v>
      </c>
      <c r="O9" s="163">
        <f>N9-M9</f>
        <v>141.56470000000002</v>
      </c>
      <c r="P9" s="518">
        <f>O9/M9*100</f>
        <v>17.458371872186664</v>
      </c>
    </row>
    <row r="10" spans="1:16" x14ac:dyDescent="0.2">
      <c r="A10" s="516" t="s">
        <v>315</v>
      </c>
      <c r="B10" s="601">
        <v>0.68689999999999996</v>
      </c>
      <c r="C10" s="601">
        <v>1.0682</v>
      </c>
      <c r="D10" s="601">
        <v>1.5218</v>
      </c>
      <c r="E10" s="601">
        <v>1.3168</v>
      </c>
      <c r="F10" s="601">
        <v>1.7167999999999999</v>
      </c>
      <c r="G10" s="601">
        <v>1.6737</v>
      </c>
      <c r="H10" s="601">
        <v>2.0461</v>
      </c>
      <c r="I10" s="601">
        <v>2.234</v>
      </c>
      <c r="J10" s="601">
        <v>2.173</v>
      </c>
      <c r="K10" s="601">
        <v>1.4379999999999999</v>
      </c>
      <c r="L10" s="601"/>
      <c r="M10" s="602">
        <v>1.1000000000000001</v>
      </c>
      <c r="N10" s="602">
        <v>1.6</v>
      </c>
      <c r="O10" s="163">
        <f t="shared" ref="O10:O18" si="0">N10-M10</f>
        <v>0.5</v>
      </c>
      <c r="P10" s="518">
        <f t="shared" ref="P10:P18" si="1">O10/M10*100</f>
        <v>45.454545454545453</v>
      </c>
    </row>
    <row r="11" spans="1:16" x14ac:dyDescent="0.2">
      <c r="A11" s="516" t="s">
        <v>314</v>
      </c>
      <c r="B11" s="601">
        <v>2.1311</v>
      </c>
      <c r="C11" s="601">
        <v>2.0442</v>
      </c>
      <c r="D11" s="601">
        <v>1.3557000000000001</v>
      </c>
      <c r="E11" s="601">
        <v>1.2599</v>
      </c>
      <c r="F11" s="601">
        <v>1.1825999999999999</v>
      </c>
      <c r="G11" s="601">
        <v>1.4109</v>
      </c>
      <c r="H11" s="601">
        <v>3.9965000000000002</v>
      </c>
      <c r="I11" s="601">
        <v>1.0369999999999999</v>
      </c>
      <c r="J11" s="601">
        <v>0.31</v>
      </c>
      <c r="K11" s="601">
        <v>3.004</v>
      </c>
      <c r="L11" s="601"/>
      <c r="M11" s="602">
        <v>2.5</v>
      </c>
      <c r="N11" s="602">
        <v>2.4</v>
      </c>
      <c r="O11" s="163">
        <f t="shared" si="0"/>
        <v>-0.10000000000000009</v>
      </c>
      <c r="P11" s="518">
        <f t="shared" si="1"/>
        <v>-4.0000000000000036</v>
      </c>
    </row>
    <row r="12" spans="1:16" x14ac:dyDescent="0.2">
      <c r="A12" s="516" t="s">
        <v>316</v>
      </c>
      <c r="B12" s="601">
        <v>3.2229999999999999</v>
      </c>
      <c r="C12" s="601">
        <v>4.7581999999999995</v>
      </c>
      <c r="D12" s="601">
        <v>3.9200999999999997</v>
      </c>
      <c r="E12" s="601">
        <v>4.0472000000000001</v>
      </c>
      <c r="F12" s="601">
        <v>34.125399999999999</v>
      </c>
      <c r="G12" s="601">
        <v>66.239199999999997</v>
      </c>
      <c r="H12" s="601">
        <v>87.06</v>
      </c>
      <c r="I12" s="601">
        <v>65.090999999999994</v>
      </c>
      <c r="J12" s="601">
        <v>86.620999999999995</v>
      </c>
      <c r="K12" s="601">
        <v>86.620999999999995</v>
      </c>
      <c r="L12" s="601"/>
      <c r="M12" s="602">
        <v>64.400000000000006</v>
      </c>
      <c r="N12" s="602">
        <v>64.5</v>
      </c>
      <c r="O12" s="163">
        <f t="shared" si="0"/>
        <v>9.9999999999994316E-2</v>
      </c>
      <c r="P12" s="518">
        <f t="shared" si="1"/>
        <v>0.15527950310558122</v>
      </c>
    </row>
    <row r="13" spans="1:16" x14ac:dyDescent="0.2">
      <c r="A13" s="516" t="s">
        <v>317</v>
      </c>
      <c r="B13" s="601">
        <v>138.7885</v>
      </c>
      <c r="C13" s="601">
        <v>128.69489999999999</v>
      </c>
      <c r="D13" s="601">
        <v>166.58120000000002</v>
      </c>
      <c r="E13" s="601">
        <v>150.04900000000001</v>
      </c>
      <c r="F13" s="601">
        <v>183.24199999999999</v>
      </c>
      <c r="G13" s="601">
        <v>187.91900000000001</v>
      </c>
      <c r="H13" s="601">
        <v>225.94800000000001</v>
      </c>
      <c r="I13" s="601">
        <v>251.60300000000001</v>
      </c>
      <c r="J13" s="601">
        <v>240.47</v>
      </c>
      <c r="K13" s="601">
        <v>270.12</v>
      </c>
      <c r="L13" s="601"/>
      <c r="M13" s="602">
        <v>204.8</v>
      </c>
      <c r="N13" s="602">
        <v>231.4</v>
      </c>
      <c r="O13" s="163">
        <f t="shared" si="0"/>
        <v>26.599999999999994</v>
      </c>
      <c r="P13" s="518">
        <f t="shared" si="1"/>
        <v>12.988281249999996</v>
      </c>
    </row>
    <row r="14" spans="1:16" x14ac:dyDescent="0.2">
      <c r="A14" s="516" t="s">
        <v>318</v>
      </c>
      <c r="B14" s="601">
        <v>0.15769999999999998</v>
      </c>
      <c r="C14" s="601">
        <v>0.20880000000000001</v>
      </c>
      <c r="D14" s="601">
        <v>1.1028</v>
      </c>
      <c r="E14" s="601">
        <v>1.9182000000000001</v>
      </c>
      <c r="F14" s="601">
        <v>1.9470999999999998</v>
      </c>
      <c r="G14" s="601">
        <v>2.2956999999999996</v>
      </c>
      <c r="H14" s="601">
        <v>2.512</v>
      </c>
      <c r="I14" s="601">
        <v>2.2799999999999998</v>
      </c>
      <c r="J14" s="601">
        <v>2.86</v>
      </c>
      <c r="K14" s="601">
        <v>6.3570000000000002</v>
      </c>
      <c r="L14" s="601"/>
      <c r="M14" s="602">
        <v>4.7</v>
      </c>
      <c r="N14" s="602">
        <v>6.2</v>
      </c>
      <c r="O14" s="163">
        <f t="shared" si="0"/>
        <v>1.5</v>
      </c>
      <c r="P14" s="518">
        <f t="shared" si="1"/>
        <v>31.914893617021274</v>
      </c>
    </row>
    <row r="15" spans="1:16" x14ac:dyDescent="0.2">
      <c r="A15" s="516" t="s">
        <v>319</v>
      </c>
      <c r="B15" s="601">
        <v>26.645799999999998</v>
      </c>
      <c r="C15" s="601">
        <v>25.155799999999999</v>
      </c>
      <c r="D15" s="601">
        <v>27.601400000000002</v>
      </c>
      <c r="E15" s="601">
        <v>20.959199999999999</v>
      </c>
      <c r="F15" s="601">
        <v>21.922000000000001</v>
      </c>
      <c r="G15" s="601">
        <v>23.172599999999999</v>
      </c>
      <c r="H15" s="601">
        <v>36.523800000000001</v>
      </c>
      <c r="I15" s="601">
        <v>28.236999999999998</v>
      </c>
      <c r="J15" s="601">
        <v>25.189</v>
      </c>
      <c r="K15" s="601">
        <v>25.189</v>
      </c>
      <c r="L15" s="601"/>
      <c r="M15" s="602">
        <v>22.9</v>
      </c>
      <c r="N15" s="602">
        <v>25.6</v>
      </c>
      <c r="O15" s="163">
        <f t="shared" si="0"/>
        <v>2.7000000000000028</v>
      </c>
      <c r="P15" s="518">
        <f t="shared" si="1"/>
        <v>11.79039301310045</v>
      </c>
    </row>
    <row r="16" spans="1:16" x14ac:dyDescent="0.2">
      <c r="A16" s="516" t="s">
        <v>320</v>
      </c>
      <c r="B16" s="601">
        <v>428.58920000000001</v>
      </c>
      <c r="C16" s="601">
        <v>472.21429999999998</v>
      </c>
      <c r="D16" s="601">
        <v>437.34159999999997</v>
      </c>
      <c r="E16" s="601">
        <v>482.32590000000005</v>
      </c>
      <c r="F16" s="601">
        <v>529.33369999999991</v>
      </c>
      <c r="G16" s="601">
        <v>531.1712</v>
      </c>
      <c r="H16" s="601">
        <v>682.81240000000003</v>
      </c>
      <c r="I16" s="601">
        <v>552.029</v>
      </c>
      <c r="J16" s="601">
        <v>745.39700000000005</v>
      </c>
      <c r="K16" s="601">
        <v>689.28099999999995</v>
      </c>
      <c r="L16" s="601"/>
      <c r="M16" s="602">
        <v>487.4</v>
      </c>
      <c r="N16" s="602">
        <v>585.5</v>
      </c>
      <c r="O16" s="163">
        <f t="shared" si="0"/>
        <v>98.100000000000023</v>
      </c>
      <c r="P16" s="518">
        <f t="shared" si="1"/>
        <v>20.12720558063193</v>
      </c>
    </row>
    <row r="17" spans="1:18" x14ac:dyDescent="0.2">
      <c r="A17" s="516" t="s">
        <v>321</v>
      </c>
      <c r="B17" s="601">
        <v>45.3521</v>
      </c>
      <c r="C17" s="601">
        <v>67.454499999999996</v>
      </c>
      <c r="D17" s="601">
        <v>35.616599999999998</v>
      </c>
      <c r="E17" s="601">
        <v>28.985499999999998</v>
      </c>
      <c r="F17" s="601">
        <v>19.550799999999999</v>
      </c>
      <c r="G17" s="601">
        <v>15.5528</v>
      </c>
      <c r="H17" s="601">
        <v>21.347000000000001</v>
      </c>
      <c r="I17" s="601">
        <v>18.459</v>
      </c>
      <c r="J17" s="601">
        <v>20.437999999999999</v>
      </c>
      <c r="K17" s="601">
        <v>26.555</v>
      </c>
      <c r="L17" s="601"/>
      <c r="M17" s="602">
        <v>22.9</v>
      </c>
      <c r="N17" s="602">
        <v>25.6</v>
      </c>
      <c r="O17" s="163">
        <f t="shared" si="0"/>
        <v>2.7000000000000028</v>
      </c>
      <c r="P17" s="518">
        <f t="shared" si="1"/>
        <v>11.79039301310045</v>
      </c>
    </row>
    <row r="18" spans="1:18" x14ac:dyDescent="0.2">
      <c r="A18" s="516" t="s">
        <v>91</v>
      </c>
      <c r="B18" s="601">
        <f t="shared" ref="B18:H18" si="2">B9-B10-B11-B12-B13-B14-B15-B16-B17</f>
        <v>1.4872000000000938</v>
      </c>
      <c r="C18" s="601">
        <f t="shared" si="2"/>
        <v>1.5426999999997975</v>
      </c>
      <c r="D18" s="601">
        <f t="shared" si="2"/>
        <v>1.7469000000001031</v>
      </c>
      <c r="E18" s="601">
        <f t="shared" si="2"/>
        <v>1.8644000000000496</v>
      </c>
      <c r="F18" s="601">
        <f t="shared" si="2"/>
        <v>1.6873000000001461</v>
      </c>
      <c r="G18" s="601">
        <f t="shared" si="2"/>
        <v>1.7904999999999998</v>
      </c>
      <c r="H18" s="601">
        <f t="shared" si="2"/>
        <v>3.8603000000002581</v>
      </c>
      <c r="I18" s="601">
        <f>I9-I10-I11-I12-I13-I14-I15-I16-I17</f>
        <v>3.8323999999999536</v>
      </c>
      <c r="J18" s="601">
        <f>J9-J10-J11-J12-J13-J14-J15-J16-J17</f>
        <v>2.5957000000000683</v>
      </c>
      <c r="K18" s="601">
        <f t="shared" ref="K18:M18" si="3">K9-K10-K11-K12-K13-K14-K15-K16-K17</f>
        <v>13.734999999999964</v>
      </c>
      <c r="L18" s="601"/>
      <c r="M18" s="602">
        <f t="shared" si="3"/>
        <v>0.16999999999993776</v>
      </c>
      <c r="N18" s="602">
        <f>N9-N10-N11-N12-N13-N14-N15-N16-N17</f>
        <v>9.6346999999999738</v>
      </c>
      <c r="O18" s="163">
        <f t="shared" si="0"/>
        <v>9.4647000000000361</v>
      </c>
      <c r="P18" s="518">
        <f t="shared" si="1"/>
        <v>5567.4705882373537</v>
      </c>
      <c r="R18" s="271"/>
    </row>
    <row r="19" spans="1:18" ht="6.75" customHeight="1" x14ac:dyDescent="0.2">
      <c r="A19" s="519"/>
      <c r="B19" s="601"/>
      <c r="C19" s="601"/>
      <c r="D19" s="601"/>
      <c r="E19" s="601"/>
      <c r="F19" s="601"/>
      <c r="G19" s="601"/>
      <c r="H19" s="601"/>
      <c r="I19" s="601"/>
      <c r="J19" s="601"/>
      <c r="K19" s="601"/>
      <c r="L19" s="601"/>
      <c r="M19" s="602"/>
      <c r="N19" s="602"/>
      <c r="O19" s="163"/>
      <c r="P19" s="518"/>
    </row>
    <row r="20" spans="1:18" x14ac:dyDescent="0.2">
      <c r="A20" s="520" t="s">
        <v>373</v>
      </c>
      <c r="B20" s="601">
        <v>12.0291</v>
      </c>
      <c r="C20" s="601">
        <v>14.494399999999999</v>
      </c>
      <c r="D20" s="601">
        <v>16.3003</v>
      </c>
      <c r="E20" s="601">
        <v>17.723400000000002</v>
      </c>
      <c r="F20" s="601">
        <v>17.090599999999998</v>
      </c>
      <c r="G20" s="601">
        <v>16.563700000000001</v>
      </c>
      <c r="H20" s="601">
        <v>16.679600000000001</v>
      </c>
      <c r="I20" s="601">
        <v>20.036899999999999</v>
      </c>
      <c r="J20" s="601">
        <v>22.8904</v>
      </c>
      <c r="K20" s="601">
        <v>19.754300000000001</v>
      </c>
      <c r="L20" s="601"/>
      <c r="M20" s="601"/>
      <c r="N20" s="601"/>
      <c r="O20" s="163"/>
      <c r="P20" s="518"/>
    </row>
    <row r="21" spans="1:18" x14ac:dyDescent="0.2">
      <c r="A21" s="516" t="s">
        <v>87</v>
      </c>
      <c r="B21" s="601">
        <v>8.2463999999999995</v>
      </c>
      <c r="C21" s="601">
        <v>8.9870000000000001</v>
      </c>
      <c r="D21" s="601">
        <v>9.5287999999999986</v>
      </c>
      <c r="E21" s="601">
        <v>11.695499999999999</v>
      </c>
      <c r="F21" s="601">
        <v>11.693100000000001</v>
      </c>
      <c r="G21" s="601">
        <v>9.6364000000000001</v>
      </c>
      <c r="H21" s="601">
        <v>10.318899999999999</v>
      </c>
      <c r="I21" s="601">
        <v>10.842799999999999</v>
      </c>
      <c r="J21" s="601">
        <v>9.7476000000000003</v>
      </c>
      <c r="K21" s="601">
        <v>9.8557999999999986</v>
      </c>
      <c r="L21" s="601"/>
      <c r="M21" s="601">
        <v>7.55</v>
      </c>
      <c r="N21" s="601">
        <v>6.79</v>
      </c>
      <c r="O21" s="163">
        <f t="shared" ref="O21:O25" si="4">N21-M21</f>
        <v>-0.75999999999999979</v>
      </c>
      <c r="P21" s="518">
        <f t="shared" ref="P21:P25" si="5">O21/M21*100</f>
        <v>-10.066225165562912</v>
      </c>
    </row>
    <row r="22" spans="1:18" x14ac:dyDescent="0.2">
      <c r="A22" s="516" t="s">
        <v>88</v>
      </c>
      <c r="B22" s="601">
        <v>1.2322</v>
      </c>
      <c r="C22" s="601">
        <v>1.7772000000000001</v>
      </c>
      <c r="D22" s="601">
        <v>2.0703</v>
      </c>
      <c r="E22" s="601">
        <v>1.7024000000000001</v>
      </c>
      <c r="F22" s="601">
        <v>4.0838000000000001</v>
      </c>
      <c r="G22" s="601">
        <v>5.3078000000000003</v>
      </c>
      <c r="H22" s="601">
        <v>4.3048999999999999</v>
      </c>
      <c r="I22" s="601">
        <v>6.6914999999999996</v>
      </c>
      <c r="J22" s="601">
        <v>9.1159999999999997</v>
      </c>
      <c r="K22" s="601">
        <v>7.2504</v>
      </c>
      <c r="L22" s="601"/>
      <c r="M22" s="601">
        <v>6.3250000000000002</v>
      </c>
      <c r="N22" s="601">
        <v>2.1949999999999998</v>
      </c>
      <c r="O22" s="163">
        <f t="shared" si="4"/>
        <v>-4.1300000000000008</v>
      </c>
      <c r="P22" s="518">
        <f t="shared" si="5"/>
        <v>-65.296442687747046</v>
      </c>
    </row>
    <row r="23" spans="1:18" x14ac:dyDescent="0.2">
      <c r="A23" s="516" t="s">
        <v>89</v>
      </c>
      <c r="B23" s="601">
        <v>3.0499999999999999E-2</v>
      </c>
      <c r="C23" s="601">
        <v>2.0199999999999999E-2</v>
      </c>
      <c r="D23" s="601">
        <v>1.9E-2</v>
      </c>
      <c r="E23" s="601">
        <v>6.2799999999999995E-2</v>
      </c>
      <c r="F23" s="601">
        <v>3.8600000000000002E-2</v>
      </c>
      <c r="G23" s="601">
        <v>0.1608</v>
      </c>
      <c r="H23" s="601">
        <v>0.1052</v>
      </c>
      <c r="I23" s="601">
        <v>0.17730000000000001</v>
      </c>
      <c r="J23" s="601">
        <v>0.14480000000000001</v>
      </c>
      <c r="K23" s="601">
        <v>4.2000000000000006E-3</v>
      </c>
      <c r="L23" s="601"/>
      <c r="M23" s="601">
        <v>4.3E-3</v>
      </c>
      <c r="N23" s="601">
        <v>0</v>
      </c>
      <c r="O23" s="163">
        <f t="shared" si="4"/>
        <v>-4.3E-3</v>
      </c>
      <c r="P23" s="521" t="s">
        <v>306</v>
      </c>
    </row>
    <row r="24" spans="1:18" x14ac:dyDescent="0.2">
      <c r="A24" s="516" t="s">
        <v>90</v>
      </c>
      <c r="B24" s="601">
        <v>0.49660000000000004</v>
      </c>
      <c r="C24" s="601">
        <v>2.2704</v>
      </c>
      <c r="D24" s="601">
        <v>3.1971999999999996</v>
      </c>
      <c r="E24" s="601">
        <v>2.7578</v>
      </c>
      <c r="F24" s="601">
        <v>0.40639999999999998</v>
      </c>
      <c r="G24" s="601">
        <v>4.3499999999999997E-2</v>
      </c>
      <c r="H24" s="601">
        <v>0.34310000000000002</v>
      </c>
      <c r="I24" s="601">
        <v>7.8E-2</v>
      </c>
      <c r="J24" s="601">
        <v>0.2099</v>
      </c>
      <c r="K24" s="601">
        <v>0.25950000000000001</v>
      </c>
      <c r="L24" s="601"/>
      <c r="M24" s="601">
        <v>0.1726</v>
      </c>
      <c r="N24" s="601">
        <v>0.28339999999999999</v>
      </c>
      <c r="O24" s="163">
        <f t="shared" si="4"/>
        <v>0.11079999999999998</v>
      </c>
      <c r="P24" s="518">
        <f t="shared" ref="P24" si="6">O24/M24*100</f>
        <v>64.19466975666279</v>
      </c>
    </row>
    <row r="25" spans="1:18" s="143" customFormat="1" x14ac:dyDescent="0.2">
      <c r="A25" s="522" t="s">
        <v>91</v>
      </c>
      <c r="B25" s="601">
        <f t="shared" ref="B25:F25" si="7">B20-B21-B22-B23-B24</f>
        <v>2.0234000000000005</v>
      </c>
      <c r="C25" s="601">
        <f t="shared" si="7"/>
        <v>1.4395999999999987</v>
      </c>
      <c r="D25" s="601">
        <f t="shared" si="7"/>
        <v>1.4850000000000021</v>
      </c>
      <c r="E25" s="601">
        <f t="shared" si="7"/>
        <v>1.5049000000000023</v>
      </c>
      <c r="F25" s="601">
        <f t="shared" si="7"/>
        <v>0.86869999999999725</v>
      </c>
      <c r="G25" s="601">
        <f t="shared" ref="G25:H25" si="8">G20-G21-G22-G23-G24</f>
        <v>1.4152000000000002</v>
      </c>
      <c r="H25" s="601">
        <f t="shared" si="8"/>
        <v>1.6075000000000015</v>
      </c>
      <c r="I25" s="601">
        <f>I20-I21-I22-I23-I24</f>
        <v>2.2473000000000014</v>
      </c>
      <c r="J25" s="601">
        <f>J20-J21-J22-J23-J24</f>
        <v>3.6720999999999995</v>
      </c>
      <c r="K25" s="601">
        <f t="shared" ref="K25" si="9">K20-K21-K22-K23-K24</f>
        <v>2.3844000000000021</v>
      </c>
      <c r="L25" s="601"/>
      <c r="M25" s="601">
        <f>M20-M21-M22-M23-M24</f>
        <v>-14.0519</v>
      </c>
      <c r="N25" s="601">
        <f>N20-N21-N22-N23-N24</f>
        <v>-9.2683999999999997</v>
      </c>
      <c r="O25" s="163">
        <f t="shared" si="4"/>
        <v>4.7835000000000001</v>
      </c>
      <c r="P25" s="518">
        <f t="shared" si="5"/>
        <v>-34.04165984671112</v>
      </c>
    </row>
    <row r="26" spans="1:18" ht="6.75" customHeight="1" x14ac:dyDescent="0.2">
      <c r="A26" s="519"/>
      <c r="B26" s="603"/>
      <c r="C26" s="601"/>
      <c r="D26" s="603"/>
      <c r="E26" s="603"/>
      <c r="F26" s="603"/>
      <c r="G26" s="601"/>
      <c r="H26" s="601"/>
      <c r="I26" s="601"/>
      <c r="J26" s="601"/>
      <c r="K26" s="601"/>
      <c r="L26" s="601"/>
      <c r="M26" s="601"/>
      <c r="N26" s="601"/>
      <c r="O26" s="163"/>
      <c r="P26" s="518"/>
    </row>
    <row r="27" spans="1:18" x14ac:dyDescent="0.2">
      <c r="A27" s="520" t="s">
        <v>92</v>
      </c>
      <c r="B27" s="601">
        <v>41.047599999999996</v>
      </c>
      <c r="C27" s="601">
        <v>47.126300000000001</v>
      </c>
      <c r="D27" s="601">
        <v>76.647200000000012</v>
      </c>
      <c r="E27" s="601">
        <v>36.295299999999997</v>
      </c>
      <c r="F27" s="601">
        <v>63.5379</v>
      </c>
      <c r="G27" s="601">
        <v>73.926100000000005</v>
      </c>
      <c r="H27" s="601">
        <v>107.09310000000001</v>
      </c>
      <c r="I27" s="601">
        <v>136.53739999999999</v>
      </c>
      <c r="J27" s="601">
        <v>52.182200000000002</v>
      </c>
      <c r="K27" s="601">
        <v>90.67540000000001</v>
      </c>
      <c r="L27" s="601"/>
      <c r="M27" s="601">
        <v>72.62</v>
      </c>
      <c r="N27" s="601">
        <v>79.2059</v>
      </c>
      <c r="O27" s="163">
        <f t="shared" ref="O27:O34" si="10">N27-M27</f>
        <v>6.5858999999999952</v>
      </c>
      <c r="P27" s="518">
        <f t="shared" ref="P27:P34" si="11">O27/M27*100</f>
        <v>9.0689892591572487</v>
      </c>
    </row>
    <row r="28" spans="1:18" x14ac:dyDescent="0.2">
      <c r="A28" s="516" t="s">
        <v>93</v>
      </c>
      <c r="B28" s="601">
        <v>3.9796</v>
      </c>
      <c r="C28" s="601">
        <v>5.4192999999999998</v>
      </c>
      <c r="D28" s="601">
        <v>5.9314</v>
      </c>
      <c r="E28" s="601">
        <v>4.9257</v>
      </c>
      <c r="F28" s="601">
        <v>5.2096999999999998</v>
      </c>
      <c r="G28" s="601">
        <v>6.8151999999999999</v>
      </c>
      <c r="H28" s="601">
        <v>9.6087000000000007</v>
      </c>
      <c r="I28" s="601">
        <v>14.431799999999999</v>
      </c>
      <c r="J28" s="601">
        <v>17.528500000000001</v>
      </c>
      <c r="K28" s="601">
        <v>18.6266</v>
      </c>
      <c r="L28" s="601"/>
      <c r="M28" s="601">
        <v>13.895</v>
      </c>
      <c r="N28" s="601">
        <v>12.648999999999999</v>
      </c>
      <c r="O28" s="163">
        <f t="shared" si="10"/>
        <v>-1.2460000000000004</v>
      </c>
      <c r="P28" s="518">
        <f t="shared" si="11"/>
        <v>-8.967254408060457</v>
      </c>
    </row>
    <row r="29" spans="1:18" x14ac:dyDescent="0.2">
      <c r="A29" s="516" t="s">
        <v>94</v>
      </c>
      <c r="B29" s="601">
        <v>14.420500000000001</v>
      </c>
      <c r="C29" s="601">
        <v>16.514099999999999</v>
      </c>
      <c r="D29" s="601">
        <v>51.768800000000006</v>
      </c>
      <c r="E29" s="601">
        <v>15.242000000000001</v>
      </c>
      <c r="F29" s="601">
        <v>38.969499999999996</v>
      </c>
      <c r="G29" s="601">
        <v>42.749600000000001</v>
      </c>
      <c r="H29" s="601">
        <v>68.798500000000004</v>
      </c>
      <c r="I29" s="601">
        <v>85.291899999999998</v>
      </c>
      <c r="J29" s="601">
        <v>10.9322</v>
      </c>
      <c r="K29" s="601">
        <v>47.9011</v>
      </c>
      <c r="L29" s="601"/>
      <c r="M29" s="601">
        <v>41.39</v>
      </c>
      <c r="N29" s="601">
        <v>42.41</v>
      </c>
      <c r="O29" s="163">
        <f t="shared" si="10"/>
        <v>1.019999999999996</v>
      </c>
      <c r="P29" s="518">
        <f t="shared" si="11"/>
        <v>2.4643633727953516</v>
      </c>
    </row>
    <row r="30" spans="1:18" x14ac:dyDescent="0.2">
      <c r="A30" s="516" t="s">
        <v>95</v>
      </c>
      <c r="B30" s="601">
        <v>13.8429</v>
      </c>
      <c r="C30" s="601">
        <v>11.485700000000001</v>
      </c>
      <c r="D30" s="601">
        <v>10.504899999999999</v>
      </c>
      <c r="E30" s="601">
        <v>11.835600000000001</v>
      </c>
      <c r="F30" s="601">
        <v>16.226200000000002</v>
      </c>
      <c r="G30" s="601">
        <v>17.110499999999998</v>
      </c>
      <c r="H30" s="601">
        <v>15.810600000000001</v>
      </c>
      <c r="I30" s="601">
        <v>18.247900000000001</v>
      </c>
      <c r="J30" s="601">
        <v>17.499299999999998</v>
      </c>
      <c r="K30" s="601">
        <v>17.4254</v>
      </c>
      <c r="L30" s="601"/>
      <c r="M30" s="601">
        <v>12.097</v>
      </c>
      <c r="N30" s="601">
        <v>14.4176</v>
      </c>
      <c r="O30" s="163">
        <f t="shared" si="10"/>
        <v>2.3206000000000007</v>
      </c>
      <c r="P30" s="518">
        <f t="shared" si="11"/>
        <v>19.183268578986532</v>
      </c>
    </row>
    <row r="31" spans="1:18" x14ac:dyDescent="0.2">
      <c r="A31" s="516" t="s">
        <v>313</v>
      </c>
      <c r="B31" s="601">
        <v>1.1337000000000002</v>
      </c>
      <c r="C31" s="601">
        <v>4.9173999999999998</v>
      </c>
      <c r="D31" s="601">
        <v>2.9072</v>
      </c>
      <c r="E31" s="601">
        <v>1.2764000000000002</v>
      </c>
      <c r="F31" s="601">
        <v>0</v>
      </c>
      <c r="G31" s="601">
        <v>0.2351</v>
      </c>
      <c r="H31" s="601">
        <v>2.2788000000000004</v>
      </c>
      <c r="I31" s="601">
        <v>3.6086999999999998</v>
      </c>
      <c r="J31" s="601">
        <v>0.76500000000000001</v>
      </c>
      <c r="K31" s="601">
        <v>0.97420000000000007</v>
      </c>
      <c r="L31" s="601"/>
      <c r="M31" s="601">
        <v>0.79920000000000002</v>
      </c>
      <c r="N31" s="601">
        <v>2.3199999999999998E-2</v>
      </c>
      <c r="O31" s="163">
        <f t="shared" si="10"/>
        <v>-0.77600000000000002</v>
      </c>
      <c r="P31" s="518">
        <f t="shared" si="11"/>
        <v>-97.097097097097091</v>
      </c>
    </row>
    <row r="32" spans="1:18" x14ac:dyDescent="0.2">
      <c r="A32" s="516" t="s">
        <v>96</v>
      </c>
      <c r="B32" s="601">
        <v>1.2034</v>
      </c>
      <c r="C32" s="601">
        <v>1.1630999999999998</v>
      </c>
      <c r="D32" s="601">
        <v>1.9639000000000002</v>
      </c>
      <c r="E32" s="601">
        <v>1.9827999999999999</v>
      </c>
      <c r="F32" s="601">
        <v>1.8380000000000001</v>
      </c>
      <c r="G32" s="601">
        <v>1.0532000000000001</v>
      </c>
      <c r="H32" s="601">
        <v>2.1846999999999999</v>
      </c>
      <c r="I32" s="601">
        <v>5.6763000000000003</v>
      </c>
      <c r="J32" s="601">
        <v>3.4511999999999996</v>
      </c>
      <c r="K32" s="601">
        <v>2.0145999999999997</v>
      </c>
      <c r="L32" s="601"/>
      <c r="M32" s="601">
        <v>1.679</v>
      </c>
      <c r="N32" s="601">
        <v>6.2233000000000001</v>
      </c>
      <c r="O32" s="163">
        <f t="shared" si="10"/>
        <v>4.5442999999999998</v>
      </c>
      <c r="P32" s="518">
        <f t="shared" si="11"/>
        <v>270.65515187611669</v>
      </c>
    </row>
    <row r="33" spans="1:16" x14ac:dyDescent="0.2">
      <c r="A33" s="516" t="s">
        <v>97</v>
      </c>
      <c r="B33" s="601">
        <v>5.2923999999999998</v>
      </c>
      <c r="C33" s="601">
        <v>6.2153999999999998</v>
      </c>
      <c r="D33" s="601">
        <v>3.2364000000000002</v>
      </c>
      <c r="E33" s="601">
        <v>0.89229999999999998</v>
      </c>
      <c r="F33" s="601">
        <v>0.95210000000000006</v>
      </c>
      <c r="G33" s="601">
        <v>4.4767000000000001</v>
      </c>
      <c r="H33" s="601">
        <v>6.9649999999999999</v>
      </c>
      <c r="I33" s="601">
        <v>8.5526</v>
      </c>
      <c r="J33" s="601">
        <v>1.4139000000000002</v>
      </c>
      <c r="K33" s="601">
        <v>3.1949999999999998</v>
      </c>
      <c r="L33" s="601"/>
      <c r="M33" s="601">
        <v>2.4051</v>
      </c>
      <c r="N33" s="601">
        <v>2.9335</v>
      </c>
      <c r="O33" s="163">
        <f t="shared" si="10"/>
        <v>0.52839999999999998</v>
      </c>
      <c r="P33" s="518">
        <f t="shared" si="11"/>
        <v>21.969980458193007</v>
      </c>
    </row>
    <row r="34" spans="1:16" x14ac:dyDescent="0.2">
      <c r="A34" s="519" t="s">
        <v>91</v>
      </c>
      <c r="B34" s="601">
        <f t="shared" ref="B34:H34" si="12">B27-B28-B29-B30-B31-B32-B33</f>
        <v>1.1750999999999969</v>
      </c>
      <c r="C34" s="601">
        <f t="shared" si="12"/>
        <v>1.4112999999999998</v>
      </c>
      <c r="D34" s="601">
        <f t="shared" si="12"/>
        <v>0.33460000000001067</v>
      </c>
      <c r="E34" s="601">
        <f t="shared" si="12"/>
        <v>0.14049999999999618</v>
      </c>
      <c r="F34" s="601">
        <f t="shared" si="12"/>
        <v>0.3424000000000037</v>
      </c>
      <c r="G34" s="601">
        <f t="shared" si="12"/>
        <v>1.4858000000000011</v>
      </c>
      <c r="H34" s="601">
        <f t="shared" si="12"/>
        <v>1.4468000000000032</v>
      </c>
      <c r="I34" s="601">
        <f>I27-I28-I29-I30-I31-I32-I33</f>
        <v>0.72819999999999574</v>
      </c>
      <c r="J34" s="601">
        <f>J27-J28-J29-J30-J31-J32-J33</f>
        <v>0.5921000000000014</v>
      </c>
      <c r="K34" s="601">
        <f t="shared" ref="K34:N34" si="13">K27-K28-K29-K30-K31-K32-K33</f>
        <v>0.53850000000001552</v>
      </c>
      <c r="L34" s="601"/>
      <c r="M34" s="601">
        <f t="shared" si="13"/>
        <v>0.35470000000000823</v>
      </c>
      <c r="N34" s="601">
        <f t="shared" si="13"/>
        <v>0.54930000000000279</v>
      </c>
      <c r="O34" s="163">
        <f t="shared" si="10"/>
        <v>0.19459999999999456</v>
      </c>
      <c r="P34" s="518">
        <f t="shared" si="11"/>
        <v>54.863264730755581</v>
      </c>
    </row>
    <row r="35" spans="1:16" ht="8.25" customHeight="1" x14ac:dyDescent="0.2">
      <c r="A35" s="516"/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1"/>
      <c r="O35" s="163"/>
      <c r="P35" s="518"/>
    </row>
    <row r="36" spans="1:16" x14ac:dyDescent="0.2">
      <c r="A36" s="520" t="s">
        <v>98</v>
      </c>
      <c r="B36" s="601">
        <f t="shared" ref="B36:H36" si="14">B42-B9-B20-B27</f>
        <v>40.310999999999886</v>
      </c>
      <c r="C36" s="601">
        <f t="shared" si="14"/>
        <v>24.679600000000221</v>
      </c>
      <c r="D36" s="601">
        <f t="shared" si="14"/>
        <v>2.9801999999999538</v>
      </c>
      <c r="E36" s="601">
        <f t="shared" si="14"/>
        <v>3.7662999999999727</v>
      </c>
      <c r="F36" s="601">
        <f t="shared" si="14"/>
        <v>4.3031000000000077</v>
      </c>
      <c r="G36" s="601">
        <f t="shared" si="14"/>
        <v>3.8922999999999206</v>
      </c>
      <c r="H36" s="601">
        <f t="shared" si="14"/>
        <v>1.8575999999998061</v>
      </c>
      <c r="I36" s="601">
        <f>I42-I9-I20-I27</f>
        <v>5.5751000000000204</v>
      </c>
      <c r="J36" s="601">
        <f>J42-J9-J20-J27</f>
        <v>2.1122999999999692</v>
      </c>
      <c r="K36" s="601">
        <f>K42-K9-K20-K27</f>
        <v>40.380900000000238</v>
      </c>
      <c r="L36" s="601"/>
      <c r="M36" s="601">
        <f t="shared" ref="M36:N36" si="15">M42-M9-M20-M27</f>
        <v>48.655999999999949</v>
      </c>
      <c r="N36" s="601">
        <f t="shared" si="15"/>
        <v>13.001400000000032</v>
      </c>
      <c r="O36" s="163">
        <f t="shared" ref="O36:O40" si="16">N36-M36</f>
        <v>-35.654599999999917</v>
      </c>
      <c r="P36" s="518">
        <f t="shared" ref="P36:P40" si="17">O36/M36*100</f>
        <v>-73.278937849391554</v>
      </c>
    </row>
    <row r="37" spans="1:16" x14ac:dyDescent="0.2">
      <c r="A37" s="516" t="s">
        <v>99</v>
      </c>
      <c r="B37" s="601">
        <v>0</v>
      </c>
      <c r="C37" s="601">
        <v>8.1599999999999992E-2</v>
      </c>
      <c r="D37" s="601">
        <v>0.38339999999999996</v>
      </c>
      <c r="E37" s="601">
        <v>1.4E-3</v>
      </c>
      <c r="F37" s="601">
        <v>0</v>
      </c>
      <c r="G37" s="601">
        <v>2.8300000000000002E-2</v>
      </c>
      <c r="H37" s="601">
        <v>1.6999999999999999E-3</v>
      </c>
      <c r="I37" s="601">
        <v>0</v>
      </c>
      <c r="J37" s="601">
        <v>0.03</v>
      </c>
      <c r="K37" s="601">
        <v>0</v>
      </c>
      <c r="L37" s="601"/>
      <c r="M37" s="601">
        <v>2.3E-2</v>
      </c>
      <c r="N37" s="601">
        <v>0</v>
      </c>
      <c r="O37" s="163">
        <f t="shared" si="16"/>
        <v>-2.3E-2</v>
      </c>
      <c r="P37" s="521" t="s">
        <v>306</v>
      </c>
    </row>
    <row r="38" spans="1:16" x14ac:dyDescent="0.2">
      <c r="A38" s="516" t="s">
        <v>100</v>
      </c>
      <c r="B38" s="601">
        <v>1.0387999999999999</v>
      </c>
      <c r="C38" s="601">
        <v>0.87320000000000009</v>
      </c>
      <c r="D38" s="601">
        <v>0.57250000000000001</v>
      </c>
      <c r="E38" s="601">
        <v>2.4691999999999998</v>
      </c>
      <c r="F38" s="601">
        <v>0</v>
      </c>
      <c r="G38" s="601">
        <v>2.8300000000000002E-2</v>
      </c>
      <c r="H38" s="601">
        <v>1.6999999999999999E-3</v>
      </c>
      <c r="I38" s="601">
        <v>0</v>
      </c>
      <c r="J38" s="601">
        <v>2.7E-2</v>
      </c>
      <c r="K38" s="601">
        <v>2.3E-2</v>
      </c>
      <c r="L38" s="601"/>
      <c r="M38" s="601">
        <v>0.53300000000000003</v>
      </c>
      <c r="N38" s="601">
        <v>8.4129999999999996E-2</v>
      </c>
      <c r="O38" s="163">
        <f t="shared" si="16"/>
        <v>-0.44887000000000005</v>
      </c>
      <c r="P38" s="518">
        <f t="shared" ref="P38" si="18">O38/M38*100</f>
        <v>-84.215759849906192</v>
      </c>
    </row>
    <row r="39" spans="1:16" x14ac:dyDescent="0.2">
      <c r="A39" s="516" t="s">
        <v>101</v>
      </c>
      <c r="B39" s="601">
        <v>37.392800000000001</v>
      </c>
      <c r="C39" s="601">
        <v>23.089099999999998</v>
      </c>
      <c r="D39" s="601">
        <v>0.99150000000000005</v>
      </c>
      <c r="E39" s="601">
        <v>0.62590000000000001</v>
      </c>
      <c r="F39" s="601">
        <v>2.3090999999999999</v>
      </c>
      <c r="G39" s="601">
        <v>2.4241999999999999</v>
      </c>
      <c r="H39" s="601">
        <v>6.4500000000000002E-2</v>
      </c>
      <c r="I39" s="601">
        <v>0.31339999999999996</v>
      </c>
      <c r="J39" s="601">
        <v>0.24130000000000001</v>
      </c>
      <c r="K39" s="601">
        <v>38.592400000000005</v>
      </c>
      <c r="L39" s="601"/>
      <c r="M39" s="601">
        <v>31.2987</v>
      </c>
      <c r="N39" s="601">
        <v>0.29299999999999998</v>
      </c>
      <c r="O39" s="163">
        <f t="shared" si="16"/>
        <v>-31.005700000000001</v>
      </c>
      <c r="P39" s="518">
        <f t="shared" si="17"/>
        <v>-99.063858882317803</v>
      </c>
    </row>
    <row r="40" spans="1:16" x14ac:dyDescent="0.2">
      <c r="A40" s="516" t="s">
        <v>91</v>
      </c>
      <c r="B40" s="601">
        <f t="shared" ref="B40:G40" si="19">B36-B37-B38-B39</f>
        <v>1.8793999999998832</v>
      </c>
      <c r="C40" s="601">
        <f t="shared" si="19"/>
        <v>0.6357000000002202</v>
      </c>
      <c r="D40" s="601">
        <f t="shared" si="19"/>
        <v>1.032799999999954</v>
      </c>
      <c r="E40" s="601">
        <f t="shared" si="19"/>
        <v>0.66979999999997297</v>
      </c>
      <c r="F40" s="601">
        <f t="shared" si="19"/>
        <v>1.9940000000000078</v>
      </c>
      <c r="G40" s="601">
        <f t="shared" si="19"/>
        <v>1.4114999999999203</v>
      </c>
      <c r="H40" s="601">
        <f>H36-H37-H38-H39</f>
        <v>1.789699999999806</v>
      </c>
      <c r="I40" s="601">
        <f>I36-I37-I38-I39</f>
        <v>5.2617000000000207</v>
      </c>
      <c r="J40" s="601">
        <f>J36-J37-J38-J39</f>
        <v>1.8139999999999692</v>
      </c>
      <c r="K40" s="601">
        <f t="shared" ref="K40:N40" si="20">K36-K37-K38-K39</f>
        <v>1.7655000000002303</v>
      </c>
      <c r="L40" s="601"/>
      <c r="M40" s="601">
        <f t="shared" si="20"/>
        <v>16.801299999999944</v>
      </c>
      <c r="N40" s="601">
        <f t="shared" si="20"/>
        <v>12.624270000000033</v>
      </c>
      <c r="O40" s="163">
        <f t="shared" si="16"/>
        <v>-4.1770299999999114</v>
      </c>
      <c r="P40" s="518">
        <f t="shared" si="17"/>
        <v>-24.86135001458176</v>
      </c>
    </row>
    <row r="41" spans="1:16" ht="6" customHeight="1" x14ac:dyDescent="0.2">
      <c r="A41" s="516"/>
      <c r="B41" s="601"/>
      <c r="C41" s="601"/>
      <c r="D41" s="601"/>
      <c r="E41" s="601"/>
      <c r="F41" s="601"/>
      <c r="G41" s="601"/>
      <c r="H41" s="601"/>
      <c r="I41" s="601"/>
      <c r="J41" s="601"/>
      <c r="K41" s="601"/>
      <c r="L41" s="601"/>
      <c r="M41" s="601"/>
      <c r="N41" s="601"/>
      <c r="O41" s="163"/>
      <c r="P41" s="518"/>
    </row>
    <row r="42" spans="1:16" s="65" customFormat="1" x14ac:dyDescent="0.2">
      <c r="A42" s="523" t="s">
        <v>102</v>
      </c>
      <c r="B42" s="604">
        <v>740.44919999999991</v>
      </c>
      <c r="C42" s="604">
        <v>789.44190000000003</v>
      </c>
      <c r="D42" s="604">
        <v>772.71580000000006</v>
      </c>
      <c r="E42" s="604">
        <v>750.51109999999994</v>
      </c>
      <c r="F42" s="604">
        <v>879.63930000000005</v>
      </c>
      <c r="G42" s="604">
        <v>925.60769999999991</v>
      </c>
      <c r="H42" s="604">
        <v>1191.7364</v>
      </c>
      <c r="I42" s="604">
        <v>1086.9518</v>
      </c>
      <c r="J42" s="605">
        <v>1203.2386000000001</v>
      </c>
      <c r="K42" s="606">
        <v>1273.1106000000002</v>
      </c>
      <c r="L42" s="604"/>
      <c r="M42" s="604">
        <v>932.14599999999996</v>
      </c>
      <c r="N42" s="606">
        <v>1044.6420000000001</v>
      </c>
      <c r="O42" s="208">
        <f>N42-M42</f>
        <v>112.49600000000009</v>
      </c>
      <c r="P42" s="524">
        <f>O42/M42*100</f>
        <v>12.068495707753947</v>
      </c>
    </row>
    <row r="43" spans="1:16" x14ac:dyDescent="0.2">
      <c r="A43" s="525" t="s">
        <v>354</v>
      </c>
      <c r="B43" s="607"/>
      <c r="C43" s="607"/>
      <c r="D43" s="607"/>
      <c r="E43" s="607"/>
      <c r="F43" s="607"/>
      <c r="G43" s="607"/>
      <c r="H43" s="607"/>
      <c r="I43" s="607"/>
      <c r="J43" s="607"/>
      <c r="K43" s="607"/>
      <c r="L43" s="607"/>
      <c r="M43" s="607"/>
      <c r="N43" s="607"/>
      <c r="O43" s="210"/>
      <c r="P43" s="526"/>
    </row>
    <row r="44" spans="1:16" x14ac:dyDescent="0.2">
      <c r="A44" s="527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163"/>
      <c r="P44" s="528"/>
    </row>
    <row r="45" spans="1:16" x14ac:dyDescent="0.2">
      <c r="A45" s="527" t="s">
        <v>320</v>
      </c>
      <c r="B45" s="601">
        <f t="shared" ref="B45:J45" si="21">B16-B63</f>
        <v>379.01609999999999</v>
      </c>
      <c r="C45" s="601">
        <f t="shared" si="21"/>
        <v>420.45729999999998</v>
      </c>
      <c r="D45" s="601">
        <f t="shared" si="21"/>
        <v>380.40469999999999</v>
      </c>
      <c r="E45" s="601">
        <f t="shared" si="21"/>
        <v>425.61460000000005</v>
      </c>
      <c r="F45" s="601">
        <f t="shared" si="21"/>
        <v>468.12069999999994</v>
      </c>
      <c r="G45" s="601">
        <f t="shared" si="21"/>
        <v>465.17790000000002</v>
      </c>
      <c r="H45" s="601">
        <f t="shared" si="21"/>
        <v>587.44670000000008</v>
      </c>
      <c r="I45" s="601">
        <f t="shared" si="21"/>
        <v>489.2516</v>
      </c>
      <c r="J45" s="601">
        <f t="shared" si="21"/>
        <v>675.76790000000005</v>
      </c>
      <c r="K45" s="601">
        <f t="shared" ref="K45:N45" si="22">K16-K63</f>
        <v>632.47199999999998</v>
      </c>
      <c r="L45" s="601"/>
      <c r="M45" s="601">
        <f t="shared" si="22"/>
        <v>443.52</v>
      </c>
      <c r="N45" s="601">
        <f t="shared" si="22"/>
        <v>536.18700000000001</v>
      </c>
      <c r="O45" s="163">
        <f t="shared" ref="O45:O47" si="23">N45-M45</f>
        <v>92.66700000000003</v>
      </c>
      <c r="P45" s="518">
        <f t="shared" ref="P45:P47" si="24">O45/M45*100</f>
        <v>20.893533549783559</v>
      </c>
    </row>
    <row r="46" spans="1:16" x14ac:dyDescent="0.2">
      <c r="A46" s="527" t="s">
        <v>321</v>
      </c>
      <c r="B46" s="601">
        <f t="shared" ref="B46:J46" si="25">B17-B64</f>
        <v>42.056899999999999</v>
      </c>
      <c r="C46" s="601">
        <f t="shared" si="25"/>
        <v>64.799499999999995</v>
      </c>
      <c r="D46" s="601">
        <f t="shared" si="25"/>
        <v>34.221899999999998</v>
      </c>
      <c r="E46" s="601">
        <f t="shared" si="25"/>
        <v>26.918199999999999</v>
      </c>
      <c r="F46" s="601">
        <f t="shared" si="25"/>
        <v>18.103899999999999</v>
      </c>
      <c r="G46" s="601">
        <f t="shared" si="25"/>
        <v>13.742799999999999</v>
      </c>
      <c r="H46" s="601">
        <f t="shared" si="25"/>
        <v>19.109000000000002</v>
      </c>
      <c r="I46" s="601">
        <f t="shared" si="25"/>
        <v>16.189399999999999</v>
      </c>
      <c r="J46" s="601">
        <f t="shared" si="25"/>
        <v>17.525299999999998</v>
      </c>
      <c r="K46" s="601">
        <f t="shared" ref="K46:N46" si="26">K17-K64</f>
        <v>20.3203</v>
      </c>
      <c r="L46" s="601"/>
      <c r="M46" s="601">
        <f t="shared" si="26"/>
        <v>18.5212</v>
      </c>
      <c r="N46" s="601">
        <f t="shared" si="26"/>
        <v>20.641000000000002</v>
      </c>
      <c r="O46" s="163">
        <f t="shared" si="23"/>
        <v>2.1198000000000015</v>
      </c>
      <c r="P46" s="518">
        <f t="shared" si="24"/>
        <v>11.445262725957289</v>
      </c>
    </row>
    <row r="47" spans="1:16" x14ac:dyDescent="0.2">
      <c r="A47" s="527" t="s">
        <v>314</v>
      </c>
      <c r="B47" s="601">
        <f t="shared" ref="B47:J47" si="27">B11-B65</f>
        <v>2.0729000000000002</v>
      </c>
      <c r="C47" s="601">
        <f t="shared" si="27"/>
        <v>1.8913</v>
      </c>
      <c r="D47" s="601">
        <f t="shared" si="27"/>
        <v>1.2957000000000001</v>
      </c>
      <c r="E47" s="601">
        <f t="shared" si="27"/>
        <v>1.0533000000000001</v>
      </c>
      <c r="F47" s="601">
        <f t="shared" si="27"/>
        <v>1.0379999999999998</v>
      </c>
      <c r="G47" s="601">
        <f t="shared" si="27"/>
        <v>1.3723000000000001</v>
      </c>
      <c r="H47" s="601">
        <f t="shared" si="27"/>
        <v>3.7449000000000003</v>
      </c>
      <c r="I47" s="601">
        <f t="shared" si="27"/>
        <v>0.88489999999999991</v>
      </c>
      <c r="J47" s="601">
        <f t="shared" si="27"/>
        <v>0.31</v>
      </c>
      <c r="K47" s="601">
        <f t="shared" ref="K47:N47" si="28">K11-K65</f>
        <v>1.8132000000000001</v>
      </c>
      <c r="L47" s="601"/>
      <c r="M47" s="601">
        <f t="shared" si="28"/>
        <v>1.661</v>
      </c>
      <c r="N47" s="601">
        <f t="shared" si="28"/>
        <v>1.3219999999999998</v>
      </c>
      <c r="O47" s="163">
        <f t="shared" si="23"/>
        <v>-0.33900000000000019</v>
      </c>
      <c r="P47" s="518">
        <f t="shared" si="24"/>
        <v>-20.409391932570752</v>
      </c>
    </row>
    <row r="48" spans="1:16" x14ac:dyDescent="0.2">
      <c r="A48" s="527"/>
      <c r="B48" s="601"/>
      <c r="C48" s="601"/>
      <c r="D48" s="601"/>
      <c r="E48" s="601"/>
      <c r="F48" s="601"/>
      <c r="G48" s="601"/>
      <c r="H48" s="601"/>
      <c r="I48" s="601"/>
      <c r="J48" s="601"/>
      <c r="K48" s="601"/>
      <c r="L48" s="601"/>
      <c r="M48" s="601"/>
      <c r="N48" s="601"/>
      <c r="O48" s="163"/>
      <c r="P48" s="529"/>
    </row>
    <row r="49" spans="1:19" x14ac:dyDescent="0.2">
      <c r="A49" s="527" t="s">
        <v>317</v>
      </c>
      <c r="B49" s="601">
        <f t="shared" ref="B49:J49" si="29">B13-B70</f>
        <v>122.6331</v>
      </c>
      <c r="C49" s="601">
        <f t="shared" si="29"/>
        <v>103.62959999999998</v>
      </c>
      <c r="D49" s="601">
        <f t="shared" si="29"/>
        <v>134.76840000000001</v>
      </c>
      <c r="E49" s="601">
        <f t="shared" si="29"/>
        <v>122.88510000000001</v>
      </c>
      <c r="F49" s="601">
        <f t="shared" si="29"/>
        <v>153.35199999999998</v>
      </c>
      <c r="G49" s="601">
        <f t="shared" si="29"/>
        <v>158.5488</v>
      </c>
      <c r="H49" s="601">
        <f t="shared" si="29"/>
        <v>183.47740000000002</v>
      </c>
      <c r="I49" s="601">
        <f t="shared" si="29"/>
        <v>185.8484</v>
      </c>
      <c r="J49" s="601">
        <f t="shared" si="29"/>
        <v>190.303</v>
      </c>
      <c r="K49" s="601">
        <f t="shared" ref="K49:N49" si="30">K13-K70</f>
        <v>229.6061</v>
      </c>
      <c r="L49" s="601"/>
      <c r="M49" s="601">
        <f t="shared" si="30"/>
        <v>178.23000000000002</v>
      </c>
      <c r="N49" s="601">
        <f t="shared" si="30"/>
        <v>202.51500000000001</v>
      </c>
      <c r="O49" s="163">
        <f t="shared" ref="O49:O50" si="31">N49-M49</f>
        <v>24.284999999999997</v>
      </c>
      <c r="P49" s="518">
        <f t="shared" ref="P49:P50" si="32">O49/M49*100</f>
        <v>13.625652247096445</v>
      </c>
    </row>
    <row r="50" spans="1:19" x14ac:dyDescent="0.2">
      <c r="A50" s="527" t="s">
        <v>319</v>
      </c>
      <c r="B50" s="601">
        <f t="shared" ref="B50:J50" si="33">B15-B71</f>
        <v>26.180399999999999</v>
      </c>
      <c r="C50" s="601">
        <f t="shared" si="33"/>
        <v>24.611899999999999</v>
      </c>
      <c r="D50" s="601">
        <f t="shared" si="33"/>
        <v>26.616300000000003</v>
      </c>
      <c r="E50" s="601">
        <f t="shared" si="33"/>
        <v>20.0611</v>
      </c>
      <c r="F50" s="601">
        <f t="shared" si="33"/>
        <v>21.417100000000001</v>
      </c>
      <c r="G50" s="601">
        <f t="shared" si="33"/>
        <v>22.663999999999998</v>
      </c>
      <c r="H50" s="601">
        <f t="shared" si="33"/>
        <v>36.186199999999999</v>
      </c>
      <c r="I50" s="601">
        <f t="shared" si="33"/>
        <v>27.920999999999999</v>
      </c>
      <c r="J50" s="601">
        <f t="shared" si="33"/>
        <v>25.032699999999998</v>
      </c>
      <c r="K50" s="601">
        <f t="shared" ref="K50:N50" si="34">K15-K71</f>
        <v>24.5291</v>
      </c>
      <c r="L50" s="601"/>
      <c r="M50" s="601">
        <f t="shared" si="34"/>
        <v>22.546999999999997</v>
      </c>
      <c r="N50" s="601">
        <f t="shared" si="34"/>
        <v>25.055200000000003</v>
      </c>
      <c r="O50" s="163">
        <f t="shared" si="31"/>
        <v>2.5082000000000058</v>
      </c>
      <c r="P50" s="518">
        <f t="shared" si="32"/>
        <v>11.124318091098621</v>
      </c>
    </row>
    <row r="51" spans="1:19" x14ac:dyDescent="0.2">
      <c r="A51" s="527"/>
      <c r="B51" s="601"/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01"/>
      <c r="N51" s="601"/>
      <c r="O51" s="163"/>
      <c r="P51" s="529"/>
    </row>
    <row r="52" spans="1:19" x14ac:dyDescent="0.2">
      <c r="A52" s="527" t="s">
        <v>93</v>
      </c>
      <c r="B52" s="601">
        <f t="shared" ref="B52:J52" si="35">B28-B78</f>
        <v>3.9796</v>
      </c>
      <c r="C52" s="601">
        <f t="shared" si="35"/>
        <v>5.3043999999999993</v>
      </c>
      <c r="D52" s="601">
        <f t="shared" si="35"/>
        <v>5.9314</v>
      </c>
      <c r="E52" s="601">
        <f t="shared" si="35"/>
        <v>4.9257</v>
      </c>
      <c r="F52" s="601">
        <f t="shared" si="35"/>
        <v>4.7638999999999996</v>
      </c>
      <c r="G52" s="601">
        <f t="shared" si="35"/>
        <v>5.9671000000000003</v>
      </c>
      <c r="H52" s="601">
        <f t="shared" si="35"/>
        <v>7.8389000000000006</v>
      </c>
      <c r="I52" s="601">
        <f t="shared" si="35"/>
        <v>10.296599999999998</v>
      </c>
      <c r="J52" s="601">
        <f t="shared" si="35"/>
        <v>12.257100000000001</v>
      </c>
      <c r="K52" s="601">
        <f t="shared" ref="K52:N52" si="36">K28-K78</f>
        <v>11.2432</v>
      </c>
      <c r="L52" s="601"/>
      <c r="M52" s="601">
        <f t="shared" si="36"/>
        <v>8.3949999999999996</v>
      </c>
      <c r="N52" s="601">
        <f t="shared" si="36"/>
        <v>7.985199999999999</v>
      </c>
      <c r="O52" s="163">
        <f t="shared" ref="O52:O55" si="37">N52-M52</f>
        <v>-0.40980000000000061</v>
      </c>
      <c r="P52" s="518">
        <f t="shared" ref="P52:P55" si="38">O52/M52*100</f>
        <v>-4.8814770696843439</v>
      </c>
    </row>
    <row r="53" spans="1:19" x14ac:dyDescent="0.2">
      <c r="A53" s="527" t="s">
        <v>94</v>
      </c>
      <c r="B53" s="601">
        <f t="shared" ref="B53:J53" si="39">B29-B79</f>
        <v>14.4024</v>
      </c>
      <c r="C53" s="601">
        <f t="shared" si="39"/>
        <v>16.514099999999999</v>
      </c>
      <c r="D53" s="601">
        <f t="shared" si="39"/>
        <v>51.748800000000003</v>
      </c>
      <c r="E53" s="601">
        <f t="shared" si="39"/>
        <v>15.232600000000001</v>
      </c>
      <c r="F53" s="601">
        <f t="shared" si="39"/>
        <v>38.969499999999996</v>
      </c>
      <c r="G53" s="601">
        <f t="shared" si="39"/>
        <v>42.745699999999999</v>
      </c>
      <c r="H53" s="601">
        <f t="shared" si="39"/>
        <v>68.496400000000008</v>
      </c>
      <c r="I53" s="601">
        <f t="shared" si="39"/>
        <v>84.012599999999992</v>
      </c>
      <c r="J53" s="601">
        <f t="shared" si="39"/>
        <v>10.8797</v>
      </c>
      <c r="K53" s="601">
        <f t="shared" ref="K53:N53" si="40">K29-K79</f>
        <v>47.290100000000002</v>
      </c>
      <c r="L53" s="601"/>
      <c r="M53" s="601">
        <f t="shared" si="40"/>
        <v>41.191499999999998</v>
      </c>
      <c r="N53" s="601">
        <f t="shared" si="40"/>
        <v>40.1708</v>
      </c>
      <c r="O53" s="163">
        <f t="shared" si="37"/>
        <v>-1.0206999999999979</v>
      </c>
      <c r="P53" s="518">
        <f t="shared" si="38"/>
        <v>-2.4779384096233397</v>
      </c>
    </row>
    <row r="54" spans="1:19" x14ac:dyDescent="0.2">
      <c r="A54" s="527" t="s">
        <v>96</v>
      </c>
      <c r="B54" s="601">
        <f t="shared" ref="B54:J54" si="41">B32-B77</f>
        <v>0.54920000000000002</v>
      </c>
      <c r="C54" s="601">
        <f t="shared" si="41"/>
        <v>0.44489999999999974</v>
      </c>
      <c r="D54" s="601">
        <f t="shared" si="41"/>
        <v>1.4406000000000003</v>
      </c>
      <c r="E54" s="601">
        <f t="shared" si="41"/>
        <v>1.3384999999999998</v>
      </c>
      <c r="F54" s="601">
        <f t="shared" si="41"/>
        <v>1.2538</v>
      </c>
      <c r="G54" s="601">
        <f t="shared" si="41"/>
        <v>0.37570000000000014</v>
      </c>
      <c r="H54" s="601">
        <f t="shared" si="41"/>
        <v>1.1707000000000001</v>
      </c>
      <c r="I54" s="601">
        <f t="shared" si="41"/>
        <v>5.1652000000000005</v>
      </c>
      <c r="J54" s="601">
        <f t="shared" si="41"/>
        <v>2.8479999999999994</v>
      </c>
      <c r="K54" s="601">
        <f t="shared" ref="K54:N54" si="42">K32-K77</f>
        <v>1.9524999999999997</v>
      </c>
      <c r="L54" s="601"/>
      <c r="M54" s="601">
        <f t="shared" si="42"/>
        <v>1.6169</v>
      </c>
      <c r="N54" s="601">
        <f t="shared" si="42"/>
        <v>6.2233000000000001</v>
      </c>
      <c r="O54" s="163">
        <f t="shared" si="37"/>
        <v>4.6063999999999998</v>
      </c>
      <c r="P54" s="518">
        <f t="shared" si="38"/>
        <v>284.89084049724778</v>
      </c>
    </row>
    <row r="55" spans="1:19" x14ac:dyDescent="0.2">
      <c r="A55" s="527" t="s">
        <v>95</v>
      </c>
      <c r="B55" s="601">
        <f t="shared" ref="B55:J55" si="43">B30-B76</f>
        <v>13.822900000000001</v>
      </c>
      <c r="C55" s="601">
        <f t="shared" si="43"/>
        <v>11.408300000000001</v>
      </c>
      <c r="D55" s="601">
        <f t="shared" si="43"/>
        <v>10.458599999999999</v>
      </c>
      <c r="E55" s="601">
        <f t="shared" si="43"/>
        <v>11.835600000000001</v>
      </c>
      <c r="F55" s="601">
        <f t="shared" si="43"/>
        <v>16.137500000000003</v>
      </c>
      <c r="G55" s="601">
        <f t="shared" si="43"/>
        <v>16.956</v>
      </c>
      <c r="H55" s="601">
        <f t="shared" si="43"/>
        <v>15.658300000000001</v>
      </c>
      <c r="I55" s="601">
        <f t="shared" si="43"/>
        <v>18.111000000000001</v>
      </c>
      <c r="J55" s="601">
        <f t="shared" si="43"/>
        <v>17.329899999999999</v>
      </c>
      <c r="K55" s="601">
        <f t="shared" ref="K55:N55" si="44">K30-K76</f>
        <v>17.352899999999998</v>
      </c>
      <c r="L55" s="601"/>
      <c r="M55" s="601">
        <f t="shared" si="44"/>
        <v>12.032</v>
      </c>
      <c r="N55" s="601">
        <f t="shared" si="44"/>
        <v>14.333600000000001</v>
      </c>
      <c r="O55" s="163">
        <f t="shared" si="37"/>
        <v>2.3016000000000005</v>
      </c>
      <c r="P55" s="518">
        <f t="shared" si="38"/>
        <v>19.128989361702132</v>
      </c>
    </row>
    <row r="56" spans="1:19" x14ac:dyDescent="0.2">
      <c r="A56" s="527"/>
      <c r="B56" s="601"/>
      <c r="C56" s="601"/>
      <c r="D56" s="601"/>
      <c r="E56" s="601"/>
      <c r="F56" s="601"/>
      <c r="G56" s="601"/>
      <c r="H56" s="601"/>
      <c r="I56" s="601"/>
      <c r="J56" s="601"/>
      <c r="K56" s="601"/>
      <c r="L56" s="601"/>
      <c r="M56" s="601"/>
      <c r="N56" s="601"/>
      <c r="O56" s="163"/>
      <c r="P56" s="529"/>
    </row>
    <row r="57" spans="1:19" x14ac:dyDescent="0.2">
      <c r="A57" s="527" t="s">
        <v>91</v>
      </c>
      <c r="B57" s="601">
        <f t="shared" ref="B57:J57" si="45">B59-SUM(B45:B56)</f>
        <v>51.604999999999791</v>
      </c>
      <c r="C57" s="601">
        <f t="shared" si="45"/>
        <v>48.759500000000116</v>
      </c>
      <c r="D57" s="601">
        <f t="shared" si="45"/>
        <v>21.933099999999968</v>
      </c>
      <c r="E57" s="601">
        <f t="shared" si="45"/>
        <v>18.502699999999891</v>
      </c>
      <c r="F57" s="601">
        <f t="shared" si="45"/>
        <v>22.603000000000065</v>
      </c>
      <c r="G57" s="601">
        <f t="shared" si="45"/>
        <v>21.344799999999964</v>
      </c>
      <c r="H57" s="601">
        <f t="shared" si="45"/>
        <v>27.458899999999858</v>
      </c>
      <c r="I57" s="601">
        <f t="shared" si="45"/>
        <v>35.713199999999915</v>
      </c>
      <c r="J57" s="601">
        <f t="shared" si="45"/>
        <v>25.258200000000215</v>
      </c>
      <c r="K57" s="601">
        <f t="shared" ref="K57:N57" si="46">K59-SUM(K45:K56)</f>
        <v>30.838100000000281</v>
      </c>
      <c r="L57" s="601"/>
      <c r="M57" s="601">
        <f t="shared" si="46"/>
        <v>14.203599999999938</v>
      </c>
      <c r="N57" s="601">
        <f t="shared" si="46"/>
        <v>16.127300000000105</v>
      </c>
      <c r="O57" s="163">
        <f t="shared" ref="O57" si="47">N57-M57</f>
        <v>1.9237000000001672</v>
      </c>
      <c r="P57" s="518">
        <f t="shared" ref="P57" si="48">O57/M57*100</f>
        <v>13.543749471966091</v>
      </c>
    </row>
    <row r="58" spans="1:19" x14ac:dyDescent="0.2">
      <c r="A58" s="530"/>
      <c r="B58" s="601"/>
      <c r="C58" s="601"/>
      <c r="D58" s="601"/>
      <c r="E58" s="601"/>
      <c r="F58" s="601"/>
      <c r="G58" s="601"/>
      <c r="H58" s="601"/>
      <c r="I58" s="601"/>
      <c r="J58" s="601"/>
      <c r="K58" s="601"/>
      <c r="L58" s="601"/>
      <c r="M58" s="601"/>
      <c r="N58" s="601"/>
      <c r="O58" s="163"/>
      <c r="P58" s="529"/>
    </row>
    <row r="59" spans="1:19" x14ac:dyDescent="0.2">
      <c r="A59" s="530" t="s">
        <v>355</v>
      </c>
      <c r="B59" s="601">
        <f t="shared" ref="B59:J59" si="49">B42-B85</f>
        <v>656.31849999999986</v>
      </c>
      <c r="C59" s="601">
        <f t="shared" si="49"/>
        <v>697.82080000000008</v>
      </c>
      <c r="D59" s="601">
        <f t="shared" si="49"/>
        <v>668.81950000000006</v>
      </c>
      <c r="E59" s="601">
        <f t="shared" si="49"/>
        <v>648.36739999999998</v>
      </c>
      <c r="F59" s="601">
        <f t="shared" si="49"/>
        <v>745.75940000000003</v>
      </c>
      <c r="G59" s="601">
        <f t="shared" si="49"/>
        <v>748.89509999999996</v>
      </c>
      <c r="H59" s="601">
        <f t="shared" si="49"/>
        <v>950.5874</v>
      </c>
      <c r="I59" s="601">
        <f t="shared" si="49"/>
        <v>873.39390000000003</v>
      </c>
      <c r="J59" s="601">
        <f t="shared" si="49"/>
        <v>977.51180000000011</v>
      </c>
      <c r="K59" s="601">
        <f t="shared" ref="K59:N59" si="50">K42-K85</f>
        <v>1017.4175000000002</v>
      </c>
      <c r="L59" s="601"/>
      <c r="M59" s="601">
        <f t="shared" si="50"/>
        <v>741.91819999999996</v>
      </c>
      <c r="N59" s="601">
        <f t="shared" si="50"/>
        <v>870.56040000000007</v>
      </c>
      <c r="O59" s="163">
        <f t="shared" ref="O59" si="51">N59-M59</f>
        <v>128.64220000000012</v>
      </c>
      <c r="P59" s="518">
        <f t="shared" ref="P59" si="52">O59/M59*100</f>
        <v>17.339135230811177</v>
      </c>
    </row>
    <row r="60" spans="1:19" x14ac:dyDescent="0.2">
      <c r="A60" s="531"/>
      <c r="B60" s="604"/>
      <c r="C60" s="604"/>
      <c r="D60" s="604"/>
      <c r="E60" s="604"/>
      <c r="F60" s="604"/>
      <c r="G60" s="604"/>
      <c r="H60" s="604"/>
      <c r="I60" s="604"/>
      <c r="J60" s="604"/>
      <c r="K60" s="604"/>
      <c r="L60" s="604"/>
      <c r="M60" s="604"/>
      <c r="N60" s="604"/>
      <c r="O60" s="208"/>
      <c r="P60" s="532"/>
    </row>
    <row r="61" spans="1:19" x14ac:dyDescent="0.2">
      <c r="A61" s="533" t="s">
        <v>356</v>
      </c>
      <c r="B61" s="601"/>
      <c r="C61" s="601"/>
      <c r="D61" s="601"/>
      <c r="E61" s="601"/>
      <c r="F61" s="601"/>
      <c r="G61" s="601"/>
      <c r="H61" s="601"/>
      <c r="I61" s="601"/>
      <c r="J61" s="601"/>
      <c r="K61" s="601"/>
      <c r="L61" s="601"/>
      <c r="M61" s="601"/>
      <c r="N61" s="601"/>
      <c r="O61" s="163"/>
      <c r="P61" s="528"/>
    </row>
    <row r="62" spans="1:19" x14ac:dyDescent="0.2">
      <c r="A62" s="530"/>
      <c r="B62" s="601"/>
      <c r="C62" s="601"/>
      <c r="D62" s="601"/>
      <c r="E62" s="601"/>
      <c r="F62" s="601"/>
      <c r="G62" s="601"/>
      <c r="H62" s="601"/>
      <c r="I62" s="601"/>
      <c r="J62" s="601"/>
      <c r="K62" s="601"/>
      <c r="L62" s="601"/>
      <c r="M62" s="601"/>
      <c r="N62" s="601"/>
      <c r="O62" s="163"/>
      <c r="P62" s="528"/>
    </row>
    <row r="63" spans="1:19" x14ac:dyDescent="0.2">
      <c r="A63" s="527" t="s">
        <v>320</v>
      </c>
      <c r="B63" s="601">
        <v>49.573099999999997</v>
      </c>
      <c r="C63" s="601">
        <v>51.756999999999991</v>
      </c>
      <c r="D63" s="601">
        <v>56.936900000000001</v>
      </c>
      <c r="E63" s="601">
        <v>56.711300000000001</v>
      </c>
      <c r="F63" s="601">
        <v>61.212999999999987</v>
      </c>
      <c r="G63" s="601">
        <v>65.993299999999991</v>
      </c>
      <c r="H63" s="601">
        <v>95.36569999999999</v>
      </c>
      <c r="I63" s="601">
        <v>62.7774</v>
      </c>
      <c r="J63" s="601">
        <v>69.629100000000008</v>
      </c>
      <c r="K63" s="601">
        <v>56.809000000000005</v>
      </c>
      <c r="L63" s="601"/>
      <c r="M63" s="601">
        <v>43.88</v>
      </c>
      <c r="N63" s="601">
        <v>49.313000000000002</v>
      </c>
      <c r="O63" s="163">
        <f t="shared" ref="O63:O65" si="53">N63-M63</f>
        <v>5.4329999999999998</v>
      </c>
      <c r="P63" s="580">
        <f t="shared" ref="P63:P65" si="54">O63/M63*100</f>
        <v>12.381494986326343</v>
      </c>
      <c r="Q63" s="96"/>
      <c r="R63" s="96"/>
      <c r="S63" s="96"/>
    </row>
    <row r="64" spans="1:19" x14ac:dyDescent="0.2">
      <c r="A64" s="527" t="s">
        <v>321</v>
      </c>
      <c r="B64" s="601">
        <v>3.2952000000000004</v>
      </c>
      <c r="C64" s="601">
        <v>2.6549999999999998</v>
      </c>
      <c r="D64" s="601">
        <v>1.3947000000000001</v>
      </c>
      <c r="E64" s="601">
        <v>2.0673000000000004</v>
      </c>
      <c r="F64" s="601">
        <v>1.4469000000000001</v>
      </c>
      <c r="G64" s="601">
        <v>1.8099999999999998</v>
      </c>
      <c r="H64" s="601">
        <v>2.238</v>
      </c>
      <c r="I64" s="601">
        <v>2.2696000000000001</v>
      </c>
      <c r="J64" s="601">
        <v>2.9127000000000001</v>
      </c>
      <c r="K64" s="601">
        <v>6.2346999999999992</v>
      </c>
      <c r="L64" s="601"/>
      <c r="M64" s="601">
        <v>4.3788</v>
      </c>
      <c r="N64" s="601">
        <v>4.9589999999999996</v>
      </c>
      <c r="O64" s="163">
        <f t="shared" si="53"/>
        <v>0.5801999999999996</v>
      </c>
      <c r="P64" s="580">
        <f t="shared" si="54"/>
        <v>13.250205535763213</v>
      </c>
      <c r="Q64" s="96"/>
      <c r="R64" s="96"/>
      <c r="S64" s="96"/>
    </row>
    <row r="65" spans="1:19" x14ac:dyDescent="0.2">
      <c r="A65" s="527" t="s">
        <v>314</v>
      </c>
      <c r="B65" s="601">
        <v>5.8200000000000002E-2</v>
      </c>
      <c r="C65" s="601">
        <v>0.15290000000000001</v>
      </c>
      <c r="D65" s="601">
        <v>0.06</v>
      </c>
      <c r="E65" s="601">
        <v>0.20660000000000001</v>
      </c>
      <c r="F65" s="601">
        <v>0.14460000000000001</v>
      </c>
      <c r="G65" s="601">
        <v>3.8600000000000002E-2</v>
      </c>
      <c r="H65" s="601">
        <v>0.25160000000000005</v>
      </c>
      <c r="I65" s="601">
        <v>0.15209999999999999</v>
      </c>
      <c r="J65" s="601">
        <v>0</v>
      </c>
      <c r="K65" s="601">
        <v>1.1907999999999999</v>
      </c>
      <c r="L65" s="601"/>
      <c r="M65" s="601">
        <v>0.83899999999999997</v>
      </c>
      <c r="N65" s="601">
        <v>1.0780000000000001</v>
      </c>
      <c r="O65" s="163">
        <f t="shared" si="53"/>
        <v>0.2390000000000001</v>
      </c>
      <c r="P65" s="580">
        <f t="shared" si="54"/>
        <v>28.486293206197864</v>
      </c>
      <c r="Q65" s="96"/>
      <c r="R65" s="96"/>
      <c r="S65" s="96"/>
    </row>
    <row r="66" spans="1:19" x14ac:dyDescent="0.2">
      <c r="A66" s="527"/>
      <c r="B66" s="601"/>
      <c r="C66" s="601"/>
      <c r="D66" s="601"/>
      <c r="E66" s="601"/>
      <c r="F66" s="601"/>
      <c r="G66" s="601"/>
      <c r="H66" s="601"/>
      <c r="I66" s="601"/>
      <c r="J66" s="601"/>
      <c r="K66" s="601"/>
      <c r="L66" s="601"/>
      <c r="M66" s="601"/>
      <c r="N66" s="601"/>
      <c r="O66" s="534"/>
      <c r="P66" s="580"/>
      <c r="Q66" s="96"/>
      <c r="R66" s="96"/>
      <c r="S66" s="96"/>
    </row>
    <row r="67" spans="1:19" x14ac:dyDescent="0.2">
      <c r="A67" s="527" t="s">
        <v>316</v>
      </c>
      <c r="B67" s="601">
        <v>1.4275</v>
      </c>
      <c r="C67" s="601">
        <v>2.2806999999999999</v>
      </c>
      <c r="D67" s="601">
        <v>2.1141000000000001</v>
      </c>
      <c r="E67" s="601">
        <v>2.7900999999999998</v>
      </c>
      <c r="F67" s="601">
        <v>27.838400000000004</v>
      </c>
      <c r="G67" s="601">
        <v>64.927899999999994</v>
      </c>
      <c r="H67" s="601">
        <v>85.809799999999996</v>
      </c>
      <c r="I67" s="601">
        <v>64.177500000000009</v>
      </c>
      <c r="J67" s="601">
        <v>85.011600000000001</v>
      </c>
      <c r="K67" s="601">
        <v>84.59620000000001</v>
      </c>
      <c r="L67" s="601"/>
      <c r="M67" s="601">
        <v>63.405000000000001</v>
      </c>
      <c r="N67" s="601">
        <v>63.595999999999997</v>
      </c>
      <c r="O67" s="163">
        <f t="shared" ref="O67:O68" si="55">N67-M67</f>
        <v>0.1909999999999954</v>
      </c>
      <c r="P67" s="580">
        <f t="shared" ref="P67:P68" si="56">O67/M67*100</f>
        <v>0.30123807270719244</v>
      </c>
      <c r="Q67" s="96"/>
      <c r="R67" s="96"/>
      <c r="S67" s="96"/>
    </row>
    <row r="68" spans="1:19" x14ac:dyDescent="0.2">
      <c r="A68" s="527" t="s">
        <v>318</v>
      </c>
      <c r="B68" s="601">
        <v>7.1900000000000006E-2</v>
      </c>
      <c r="C68" s="601">
        <v>0.17710000000000001</v>
      </c>
      <c r="D68" s="601">
        <v>0.84090000000000009</v>
      </c>
      <c r="E68" s="601">
        <v>1.7438000000000002</v>
      </c>
      <c r="F68" s="601">
        <v>1.673</v>
      </c>
      <c r="G68" s="601">
        <v>1.9112000000000002</v>
      </c>
      <c r="H68" s="601">
        <v>2.0371999999999999</v>
      </c>
      <c r="I68" s="601">
        <v>1.9232</v>
      </c>
      <c r="J68" s="601">
        <v>2.4015</v>
      </c>
      <c r="K68" s="601">
        <v>5.8311999999999999</v>
      </c>
      <c r="L68" s="601"/>
      <c r="M68" s="601">
        <v>4.298</v>
      </c>
      <c r="N68" s="601">
        <v>5.61</v>
      </c>
      <c r="O68" s="163">
        <f t="shared" si="55"/>
        <v>1.3120000000000003</v>
      </c>
      <c r="P68" s="580">
        <f t="shared" si="56"/>
        <v>30.525825965565385</v>
      </c>
      <c r="Q68" s="96"/>
      <c r="R68" s="96"/>
      <c r="S68" s="96"/>
    </row>
    <row r="69" spans="1:19" x14ac:dyDescent="0.2">
      <c r="A69" s="527"/>
      <c r="B69" s="601"/>
      <c r="C69" s="601"/>
      <c r="D69" s="601"/>
      <c r="E69" s="601"/>
      <c r="F69" s="601"/>
      <c r="G69" s="601"/>
      <c r="H69" s="601"/>
      <c r="I69" s="601"/>
      <c r="J69" s="601"/>
      <c r="K69" s="601"/>
      <c r="L69" s="601"/>
      <c r="M69" s="601"/>
      <c r="N69" s="601"/>
      <c r="O69" s="534"/>
      <c r="P69" s="580"/>
      <c r="Q69" s="96"/>
      <c r="R69" s="96"/>
      <c r="S69" s="96"/>
    </row>
    <row r="70" spans="1:19" x14ac:dyDescent="0.2">
      <c r="A70" s="527" t="s">
        <v>317</v>
      </c>
      <c r="B70" s="601">
        <v>16.1554</v>
      </c>
      <c r="C70" s="601">
        <v>25.065300000000001</v>
      </c>
      <c r="D70" s="601">
        <v>31.812799999999999</v>
      </c>
      <c r="E70" s="601">
        <v>27.163900000000002</v>
      </c>
      <c r="F70" s="601">
        <v>29.89</v>
      </c>
      <c r="G70" s="601">
        <v>29.370200000000001</v>
      </c>
      <c r="H70" s="601">
        <v>42.47059999999999</v>
      </c>
      <c r="I70" s="601">
        <v>65.754600000000011</v>
      </c>
      <c r="J70" s="601">
        <v>50.166999999999994</v>
      </c>
      <c r="K70" s="601">
        <v>40.5139</v>
      </c>
      <c r="L70" s="601"/>
      <c r="M70" s="601">
        <v>26.57</v>
      </c>
      <c r="N70" s="601">
        <v>28.885000000000002</v>
      </c>
      <c r="O70" s="163">
        <f t="shared" ref="O70:O71" si="57">N70-M70</f>
        <v>2.3150000000000013</v>
      </c>
      <c r="P70" s="580">
        <f t="shared" ref="P70:P71" si="58">O70/M70*100</f>
        <v>8.712834023334592</v>
      </c>
      <c r="Q70" s="96"/>
      <c r="R70" s="96"/>
      <c r="S70" s="96"/>
    </row>
    <row r="71" spans="1:19" x14ac:dyDescent="0.2">
      <c r="A71" s="527" t="s">
        <v>319</v>
      </c>
      <c r="B71" s="601">
        <v>0.46539999999999998</v>
      </c>
      <c r="C71" s="601">
        <v>0.54390000000000005</v>
      </c>
      <c r="D71" s="601">
        <v>0.98509999999999986</v>
      </c>
      <c r="E71" s="601">
        <v>0.89810000000000001</v>
      </c>
      <c r="F71" s="601">
        <v>0.50490000000000002</v>
      </c>
      <c r="G71" s="601">
        <v>0.50859999999999994</v>
      </c>
      <c r="H71" s="601">
        <v>0.33760000000000001</v>
      </c>
      <c r="I71" s="601">
        <v>0.316</v>
      </c>
      <c r="J71" s="601">
        <v>0.15629999999999999</v>
      </c>
      <c r="K71" s="601">
        <v>0.65990000000000004</v>
      </c>
      <c r="L71" s="601"/>
      <c r="M71" s="601">
        <v>0.35299999999999998</v>
      </c>
      <c r="N71" s="601">
        <v>0.54479999999999995</v>
      </c>
      <c r="O71" s="163">
        <f t="shared" si="57"/>
        <v>0.19179999999999997</v>
      </c>
      <c r="P71" s="580">
        <f t="shared" si="58"/>
        <v>54.334277620396598</v>
      </c>
      <c r="Q71" s="96"/>
      <c r="R71" s="96"/>
      <c r="S71" s="96"/>
    </row>
    <row r="72" spans="1:19" x14ac:dyDescent="0.2">
      <c r="A72" s="527"/>
      <c r="B72" s="601"/>
      <c r="C72" s="601"/>
      <c r="D72" s="601"/>
      <c r="E72" s="601"/>
      <c r="F72" s="601"/>
      <c r="G72" s="601"/>
      <c r="H72" s="601"/>
      <c r="I72" s="601"/>
      <c r="J72" s="601"/>
      <c r="K72" s="601"/>
      <c r="L72" s="601"/>
      <c r="M72" s="601"/>
      <c r="N72" s="601"/>
      <c r="O72" s="534"/>
      <c r="P72" s="580"/>
      <c r="Q72" s="96"/>
      <c r="R72" s="96"/>
      <c r="S72" s="96"/>
    </row>
    <row r="73" spans="1:19" x14ac:dyDescent="0.2">
      <c r="A73" s="527" t="s">
        <v>87</v>
      </c>
      <c r="B73" s="601">
        <v>3.1988999999999996</v>
      </c>
      <c r="C73" s="601">
        <v>3.4453</v>
      </c>
      <c r="D73" s="601">
        <v>3.8453999999999997</v>
      </c>
      <c r="E73" s="601">
        <v>4.6481000000000003</v>
      </c>
      <c r="F73" s="601">
        <v>3.9113000000000002</v>
      </c>
      <c r="G73" s="601">
        <v>3.4058999999999999</v>
      </c>
      <c r="H73" s="601">
        <v>3.4617999999999998</v>
      </c>
      <c r="I73" s="601">
        <v>3.3758999999999997</v>
      </c>
      <c r="J73" s="601">
        <v>3.7984999999999998</v>
      </c>
      <c r="K73" s="601">
        <v>4.4707999999999997</v>
      </c>
      <c r="L73" s="601"/>
      <c r="M73" s="601">
        <v>3.4049999999999998</v>
      </c>
      <c r="N73" s="601">
        <v>3.3243999999999998</v>
      </c>
      <c r="O73" s="163">
        <f t="shared" ref="O73:O74" si="59">N73-M73</f>
        <v>-8.0600000000000005E-2</v>
      </c>
      <c r="P73" s="580">
        <f t="shared" ref="P73:P74" si="60">O73/M73*100</f>
        <v>-2.3671071953010281</v>
      </c>
      <c r="Q73" s="96"/>
      <c r="R73" s="96"/>
      <c r="S73" s="96"/>
    </row>
    <row r="74" spans="1:19" x14ac:dyDescent="0.2">
      <c r="A74" s="527" t="s">
        <v>88</v>
      </c>
      <c r="B74" s="601">
        <v>1.028</v>
      </c>
      <c r="C74" s="601">
        <v>1.1619999999999999</v>
      </c>
      <c r="D74" s="601">
        <v>1.81</v>
      </c>
      <c r="E74" s="601">
        <v>1.1639999999999999</v>
      </c>
      <c r="F74" s="601">
        <v>1.5861000000000001</v>
      </c>
      <c r="G74" s="601">
        <v>2.5030999999999999</v>
      </c>
      <c r="H74" s="601">
        <v>1.8060999999999998</v>
      </c>
      <c r="I74" s="601">
        <v>1.9566000000000001</v>
      </c>
      <c r="J74" s="601">
        <v>1.6889000000000001</v>
      </c>
      <c r="K74" s="601">
        <v>1.7916999999999998</v>
      </c>
      <c r="L74" s="601"/>
      <c r="M74" s="601">
        <v>1.391</v>
      </c>
      <c r="N74" s="601">
        <v>0.96150000000000002</v>
      </c>
      <c r="O74" s="163">
        <f t="shared" si="59"/>
        <v>-0.42949999999999999</v>
      </c>
      <c r="P74" s="580">
        <f t="shared" si="60"/>
        <v>-30.877066858375269</v>
      </c>
      <c r="Q74" s="96"/>
      <c r="R74" s="96"/>
      <c r="S74" s="96"/>
    </row>
    <row r="75" spans="1:19" x14ac:dyDescent="0.2">
      <c r="A75" s="527"/>
      <c r="B75" s="601"/>
      <c r="C75" s="601"/>
      <c r="D75" s="601"/>
      <c r="E75" s="601"/>
      <c r="F75" s="601"/>
      <c r="G75" s="601"/>
      <c r="H75" s="601"/>
      <c r="I75" s="601"/>
      <c r="J75" s="601"/>
      <c r="K75" s="601"/>
      <c r="L75" s="601"/>
      <c r="M75" s="601"/>
      <c r="N75" s="601"/>
      <c r="O75" s="534"/>
      <c r="P75" s="580"/>
      <c r="Q75" s="96"/>
      <c r="R75" s="96"/>
      <c r="S75" s="96"/>
    </row>
    <row r="76" spans="1:19" ht="9.75" customHeight="1" x14ac:dyDescent="0.2">
      <c r="A76" s="527" t="s">
        <v>95</v>
      </c>
      <c r="B76" s="601">
        <v>0.02</v>
      </c>
      <c r="C76" s="601">
        <v>7.740000000000001E-2</v>
      </c>
      <c r="D76" s="601">
        <v>4.6299999999999994E-2</v>
      </c>
      <c r="E76" s="601">
        <v>0</v>
      </c>
      <c r="F76" s="601">
        <v>8.8700000000000001E-2</v>
      </c>
      <c r="G76" s="601">
        <v>0.15449999999999997</v>
      </c>
      <c r="H76" s="601">
        <v>0.15230000000000002</v>
      </c>
      <c r="I76" s="601">
        <v>0.13690000000000002</v>
      </c>
      <c r="J76" s="601">
        <v>0.1694</v>
      </c>
      <c r="K76" s="601">
        <v>7.2500000000000009E-2</v>
      </c>
      <c r="L76" s="601"/>
      <c r="M76" s="601">
        <v>6.5000000000000002E-2</v>
      </c>
      <c r="N76" s="601">
        <v>8.4000000000000005E-2</v>
      </c>
      <c r="O76" s="163">
        <f t="shared" ref="O76:O79" si="61">N76-M76</f>
        <v>1.9000000000000003E-2</v>
      </c>
      <c r="P76" s="580">
        <f t="shared" ref="P76" si="62">O76/M76*100</f>
        <v>29.230769230769234</v>
      </c>
      <c r="Q76" s="96"/>
      <c r="R76" s="96"/>
      <c r="S76" s="96"/>
    </row>
    <row r="77" spans="1:19" ht="9.75" customHeight="1" x14ac:dyDescent="0.2">
      <c r="A77" s="527" t="s">
        <v>96</v>
      </c>
      <c r="B77" s="601">
        <v>0.6542</v>
      </c>
      <c r="C77" s="601">
        <v>0.71820000000000006</v>
      </c>
      <c r="D77" s="601">
        <v>0.52329999999999999</v>
      </c>
      <c r="E77" s="601">
        <v>0.64429999999999998</v>
      </c>
      <c r="F77" s="601">
        <v>0.58420000000000005</v>
      </c>
      <c r="G77" s="601">
        <v>0.67749999999999999</v>
      </c>
      <c r="H77" s="601">
        <v>1.0139999999999998</v>
      </c>
      <c r="I77" s="601">
        <v>0.5111</v>
      </c>
      <c r="J77" s="601">
        <v>0.60320000000000007</v>
      </c>
      <c r="K77" s="601">
        <v>6.2100000000000002E-2</v>
      </c>
      <c r="L77" s="601"/>
      <c r="M77" s="601">
        <v>6.2100000000000002E-2</v>
      </c>
      <c r="N77" s="601">
        <v>0</v>
      </c>
      <c r="O77" s="163">
        <f t="shared" si="61"/>
        <v>-6.2100000000000002E-2</v>
      </c>
      <c r="P77" s="580">
        <f t="shared" ref="P77:P79" si="63">O77/M77*100</f>
        <v>-100</v>
      </c>
      <c r="Q77" s="96"/>
      <c r="R77" s="96"/>
      <c r="S77" s="96"/>
    </row>
    <row r="78" spans="1:19" ht="9.75" customHeight="1" x14ac:dyDescent="0.2">
      <c r="A78" s="527" t="s">
        <v>93</v>
      </c>
      <c r="B78" s="608">
        <v>0</v>
      </c>
      <c r="C78" s="608">
        <v>0.1149</v>
      </c>
      <c r="D78" s="608">
        <v>0</v>
      </c>
      <c r="E78" s="608">
        <v>0</v>
      </c>
      <c r="F78" s="608">
        <v>0.44579999999999997</v>
      </c>
      <c r="G78" s="608">
        <v>0.84809999999999997</v>
      </c>
      <c r="H78" s="608">
        <v>1.7698</v>
      </c>
      <c r="I78" s="608">
        <v>4.1352000000000002</v>
      </c>
      <c r="J78" s="608">
        <v>5.2713999999999999</v>
      </c>
      <c r="K78" s="608">
        <v>7.3834</v>
      </c>
      <c r="L78" s="608"/>
      <c r="M78" s="608">
        <v>5.5</v>
      </c>
      <c r="N78" s="608">
        <v>4.6638000000000002</v>
      </c>
      <c r="O78" s="163">
        <f t="shared" si="61"/>
        <v>-0.83619999999999983</v>
      </c>
      <c r="P78" s="580">
        <f t="shared" si="63"/>
        <v>-15.203636363636361</v>
      </c>
      <c r="Q78" s="96"/>
      <c r="R78" s="96"/>
      <c r="S78" s="96"/>
    </row>
    <row r="79" spans="1:19" ht="9.75" customHeight="1" x14ac:dyDescent="0.2">
      <c r="A79" s="527" t="s">
        <v>94</v>
      </c>
      <c r="B79" s="601">
        <v>1.8100000000000002E-2</v>
      </c>
      <c r="C79" s="601">
        <v>0</v>
      </c>
      <c r="D79" s="601">
        <v>0.02</v>
      </c>
      <c r="E79" s="601">
        <v>9.4000000000000004E-3</v>
      </c>
      <c r="F79" s="601">
        <v>0</v>
      </c>
      <c r="G79" s="601">
        <v>3.8999999999999998E-3</v>
      </c>
      <c r="H79" s="601">
        <v>0.30209999999999998</v>
      </c>
      <c r="I79" s="601">
        <v>1.2793000000000001</v>
      </c>
      <c r="J79" s="601">
        <v>5.2499999999999998E-2</v>
      </c>
      <c r="K79" s="601">
        <v>0.61099999999999999</v>
      </c>
      <c r="L79" s="601"/>
      <c r="M79" s="601">
        <v>0.19850000000000001</v>
      </c>
      <c r="N79" s="601">
        <v>2.2391999999999999</v>
      </c>
      <c r="O79" s="163">
        <f t="shared" si="61"/>
        <v>2.0406999999999997</v>
      </c>
      <c r="P79" s="580">
        <f t="shared" si="63"/>
        <v>1028.0604534005035</v>
      </c>
      <c r="Q79" s="96"/>
      <c r="R79" s="96"/>
      <c r="S79" s="96"/>
    </row>
    <row r="80" spans="1:19" ht="9.75" customHeight="1" x14ac:dyDescent="0.2">
      <c r="A80" s="527"/>
      <c r="B80" s="601"/>
      <c r="C80" s="601"/>
      <c r="D80" s="601"/>
      <c r="E80" s="601"/>
      <c r="F80" s="601"/>
      <c r="G80" s="601"/>
      <c r="H80" s="601"/>
      <c r="I80" s="601"/>
      <c r="J80" s="601"/>
      <c r="K80" s="601"/>
      <c r="L80" s="601"/>
      <c r="M80" s="601"/>
      <c r="N80" s="601"/>
      <c r="O80" s="534"/>
      <c r="P80" s="580"/>
      <c r="Q80" s="96"/>
      <c r="R80" s="96"/>
      <c r="S80" s="96"/>
    </row>
    <row r="81" spans="1:19" ht="9.75" customHeight="1" x14ac:dyDescent="0.2">
      <c r="A81" s="527" t="s">
        <v>101</v>
      </c>
      <c r="B81" s="601">
        <v>7.1888999999999994</v>
      </c>
      <c r="C81" s="601">
        <v>1.7863</v>
      </c>
      <c r="D81" s="601">
        <v>0.93270000000000008</v>
      </c>
      <c r="E81" s="601">
        <v>0.5737000000000001</v>
      </c>
      <c r="F81" s="601">
        <v>2.2659000000000002</v>
      </c>
      <c r="G81" s="601">
        <v>2.4212999999999996</v>
      </c>
      <c r="H81" s="601">
        <v>6.4500000000000002E-2</v>
      </c>
      <c r="I81" s="601">
        <v>0</v>
      </c>
      <c r="J81" s="601">
        <v>0.24130000000000001</v>
      </c>
      <c r="K81" s="601">
        <v>38.496099999999998</v>
      </c>
      <c r="L81" s="601"/>
      <c r="M81" s="601">
        <v>31.2074</v>
      </c>
      <c r="N81" s="601">
        <v>0.25209999999999999</v>
      </c>
      <c r="O81" s="163">
        <f t="shared" ref="O81" si="64">N81-M81</f>
        <v>-30.955300000000001</v>
      </c>
      <c r="P81" s="580">
        <f t="shared" ref="P81" si="65">O81/M81*100</f>
        <v>-99.192178778110332</v>
      </c>
      <c r="Q81" s="96"/>
      <c r="R81" s="96"/>
      <c r="S81" s="96"/>
    </row>
    <row r="82" spans="1:19" ht="9.75" customHeight="1" x14ac:dyDescent="0.2">
      <c r="A82" s="527"/>
      <c r="B82" s="601"/>
      <c r="C82" s="601"/>
      <c r="D82" s="601"/>
      <c r="E82" s="601"/>
      <c r="F82" s="601"/>
      <c r="G82" s="601"/>
      <c r="H82" s="601"/>
      <c r="I82" s="601"/>
      <c r="J82" s="601"/>
      <c r="K82" s="601"/>
      <c r="L82" s="601"/>
      <c r="M82" s="601"/>
      <c r="N82" s="601"/>
      <c r="O82" s="534"/>
      <c r="P82" s="580"/>
      <c r="Q82" s="96"/>
      <c r="R82" s="96"/>
      <c r="S82" s="96"/>
    </row>
    <row r="83" spans="1:19" x14ac:dyDescent="0.2">
      <c r="A83" s="527" t="s">
        <v>91</v>
      </c>
      <c r="B83" s="601">
        <f t="shared" ref="B83:N83" si="66">B85-SUM(B63:B82)</f>
        <v>0.97589999999998156</v>
      </c>
      <c r="C83" s="601">
        <f t="shared" si="66"/>
        <v>1.6850999999999914</v>
      </c>
      <c r="D83" s="601">
        <f t="shared" si="66"/>
        <v>2.574099999999973</v>
      </c>
      <c r="E83" s="601">
        <f t="shared" si="66"/>
        <v>3.5230999999999995</v>
      </c>
      <c r="F83" s="601">
        <f t="shared" si="66"/>
        <v>2.2871000000000379</v>
      </c>
      <c r="G83" s="601">
        <f t="shared" si="66"/>
        <v>2.1384999999999934</v>
      </c>
      <c r="H83" s="601">
        <f t="shared" si="66"/>
        <v>4.0678999999999803</v>
      </c>
      <c r="I83" s="601">
        <f t="shared" si="66"/>
        <v>4.7924999999999898</v>
      </c>
      <c r="J83" s="601">
        <f t="shared" si="66"/>
        <v>3.6234000000000322</v>
      </c>
      <c r="K83" s="601">
        <f t="shared" si="66"/>
        <v>6.9698000000000491</v>
      </c>
      <c r="L83" s="601"/>
      <c r="M83" s="601">
        <f>M85-SUM(M63:M82)</f>
        <v>4.6750000000000114</v>
      </c>
      <c r="N83" s="601">
        <f t="shared" si="66"/>
        <v>8.5707999999999629</v>
      </c>
      <c r="O83" s="163">
        <f t="shared" ref="O83" si="67">N83-M83</f>
        <v>3.8957999999999515</v>
      </c>
      <c r="P83" s="580">
        <f t="shared" ref="P83" si="68">O83/M83*100</f>
        <v>83.332620320854375</v>
      </c>
      <c r="Q83" s="96"/>
      <c r="R83" s="96"/>
      <c r="S83" s="96"/>
    </row>
    <row r="84" spans="1:19" ht="7.5" customHeight="1" x14ac:dyDescent="0.2">
      <c r="A84" s="527"/>
      <c r="B84" s="601"/>
      <c r="C84" s="601"/>
      <c r="D84" s="601"/>
      <c r="E84" s="601"/>
      <c r="F84" s="601"/>
      <c r="G84" s="601"/>
      <c r="H84" s="601"/>
      <c r="I84" s="601"/>
      <c r="J84" s="601"/>
      <c r="K84" s="601"/>
      <c r="L84" s="601"/>
      <c r="M84" s="601"/>
      <c r="N84" s="601"/>
      <c r="O84" s="534"/>
      <c r="P84" s="580"/>
      <c r="Q84" s="96"/>
      <c r="R84" s="96"/>
      <c r="S84" s="96"/>
    </row>
    <row r="85" spans="1:19" x14ac:dyDescent="0.2">
      <c r="A85" s="527" t="s">
        <v>355</v>
      </c>
      <c r="B85" s="601">
        <v>84.13069999999999</v>
      </c>
      <c r="C85" s="601">
        <v>91.621099999999984</v>
      </c>
      <c r="D85" s="601">
        <v>103.89629999999998</v>
      </c>
      <c r="E85" s="601">
        <v>102.14370000000001</v>
      </c>
      <c r="F85" s="601">
        <v>133.87989999999999</v>
      </c>
      <c r="G85" s="601">
        <v>176.71259999999998</v>
      </c>
      <c r="H85" s="601">
        <v>241.149</v>
      </c>
      <c r="I85" s="601">
        <v>213.55790000000002</v>
      </c>
      <c r="J85" s="601">
        <v>225.7268</v>
      </c>
      <c r="K85" s="601">
        <v>255.69309999999999</v>
      </c>
      <c r="L85" s="601"/>
      <c r="M85" s="601">
        <v>190.2278</v>
      </c>
      <c r="N85" s="601">
        <v>174.08160000000001</v>
      </c>
      <c r="O85" s="163">
        <f t="shared" ref="O85" si="69">N85-M85</f>
        <v>-16.146199999999993</v>
      </c>
      <c r="P85" s="580">
        <f t="shared" ref="P85" si="70">O85/M85*100</f>
        <v>-8.4878235462955427</v>
      </c>
      <c r="Q85" s="96"/>
      <c r="R85" s="96"/>
      <c r="S85" s="96"/>
    </row>
    <row r="86" spans="1:19" ht="8.25" customHeight="1" x14ac:dyDescent="0.2">
      <c r="A86" s="531"/>
      <c r="B86" s="604"/>
      <c r="C86" s="604"/>
      <c r="D86" s="604"/>
      <c r="E86" s="604"/>
      <c r="F86" s="604"/>
      <c r="G86" s="604"/>
      <c r="H86" s="604"/>
      <c r="I86" s="604"/>
      <c r="J86" s="604"/>
      <c r="K86" s="604"/>
      <c r="L86" s="604"/>
      <c r="M86" s="604"/>
      <c r="N86" s="604"/>
      <c r="O86" s="535"/>
      <c r="P86" s="581"/>
      <c r="Q86" s="96"/>
      <c r="R86" s="96"/>
      <c r="S86" s="96"/>
    </row>
    <row r="87" spans="1:19" ht="12.75" customHeight="1" x14ac:dyDescent="0.2">
      <c r="A87" s="74" t="s">
        <v>465</v>
      </c>
      <c r="B87" s="595"/>
      <c r="C87" s="595"/>
      <c r="D87" s="595"/>
      <c r="E87" s="595"/>
      <c r="F87" s="595"/>
      <c r="G87" s="595"/>
      <c r="H87" s="595"/>
      <c r="I87" s="595"/>
      <c r="J87" s="595"/>
      <c r="K87" s="595"/>
      <c r="L87" s="595"/>
      <c r="M87" s="595"/>
      <c r="N87" s="595"/>
      <c r="O87" s="73"/>
      <c r="P87" s="73"/>
      <c r="Q87" s="96"/>
      <c r="R87" s="96"/>
      <c r="S87" s="96"/>
    </row>
    <row r="88" spans="1:19" ht="10.5" customHeight="1" x14ac:dyDescent="0.2">
      <c r="A88" s="76" t="s">
        <v>327</v>
      </c>
      <c r="B88" s="596"/>
      <c r="C88" s="597"/>
      <c r="D88" s="596"/>
      <c r="E88" s="596"/>
      <c r="F88" s="596"/>
      <c r="G88" s="596"/>
      <c r="H88" s="596"/>
      <c r="I88" s="596"/>
      <c r="J88" s="596"/>
      <c r="K88" s="596"/>
      <c r="L88" s="596"/>
      <c r="M88" s="596"/>
      <c r="N88" s="596"/>
    </row>
    <row r="89" spans="1:19" ht="10.5" customHeight="1" x14ac:dyDescent="0.2">
      <c r="A89" s="77" t="s">
        <v>298</v>
      </c>
      <c r="B89" s="598"/>
      <c r="C89" s="597"/>
      <c r="D89" s="598"/>
      <c r="E89" s="598"/>
      <c r="F89" s="598"/>
      <c r="G89" s="598"/>
      <c r="H89" s="598"/>
      <c r="I89" s="598"/>
      <c r="J89" s="598"/>
      <c r="K89" s="598"/>
      <c r="L89" s="598"/>
      <c r="M89" s="598"/>
      <c r="N89" s="598"/>
    </row>
    <row r="90" spans="1:19" ht="10.5" customHeight="1" x14ac:dyDescent="0.2">
      <c r="A90" s="6" t="s">
        <v>483</v>
      </c>
      <c r="B90" s="599"/>
      <c r="C90" s="600"/>
      <c r="D90" s="599"/>
      <c r="E90" s="599"/>
      <c r="F90" s="599"/>
      <c r="G90" s="599"/>
      <c r="H90" s="594"/>
      <c r="I90" s="599"/>
      <c r="J90" s="599"/>
      <c r="K90" s="599"/>
      <c r="L90" s="599"/>
      <c r="M90" s="599"/>
      <c r="N90" s="599"/>
    </row>
    <row r="91" spans="1:19" ht="11.25" customHeight="1" x14ac:dyDescent="0.2">
      <c r="I91" s="78"/>
    </row>
    <row r="92" spans="1:19" ht="11.1" customHeight="1" x14ac:dyDescent="0.2"/>
    <row r="93" spans="1:19" ht="11.1" customHeight="1" x14ac:dyDescent="0.2">
      <c r="A93" s="79"/>
      <c r="B93" s="79"/>
      <c r="C93" s="80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 codeName="Sheet8">
    <pageSetUpPr fitToPage="1"/>
  </sheetPr>
  <dimension ref="A1:CT143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"/>
    </sheetView>
  </sheetViews>
  <sheetFormatPr defaultColWidth="9.625" defaultRowHeight="12.75" x14ac:dyDescent="0.2"/>
  <cols>
    <col min="1" max="1" width="32.875" style="67" customWidth="1"/>
    <col min="2" max="2" width="7.125" style="67" customWidth="1"/>
    <col min="3" max="3" width="12.125" style="67" customWidth="1"/>
    <col min="4" max="4" width="11.375" style="67" customWidth="1"/>
    <col min="5" max="7" width="12.875" style="67" customWidth="1"/>
    <col min="8" max="9" width="13.125" style="67" customWidth="1"/>
    <col min="10" max="12" width="15.75" style="67" customWidth="1"/>
    <col min="13" max="13" width="13.75" style="143" customWidth="1"/>
    <col min="14" max="14" width="3.375" style="67" customWidth="1"/>
    <col min="15" max="15" width="14.5" style="590" customWidth="1"/>
    <col min="16" max="16" width="13.75" style="143" customWidth="1"/>
    <col min="17" max="18" width="15.75" style="603" customWidth="1"/>
    <col min="19" max="19" width="14.375" style="143" customWidth="1"/>
    <col min="21" max="21" width="14.375" style="143" customWidth="1"/>
    <col min="22" max="27" width="9.625" style="67"/>
    <col min="28" max="28" width="12.625" style="67" customWidth="1"/>
    <col min="29" max="261" width="9.625" style="67"/>
    <col min="262" max="262" width="32.875" style="67" customWidth="1"/>
    <col min="263" max="263" width="6.875" style="67" customWidth="1"/>
    <col min="264" max="264" width="11.125" style="67" customWidth="1"/>
    <col min="265" max="265" width="12.375" style="67" customWidth="1"/>
    <col min="266" max="266" width="13.125" style="67" customWidth="1"/>
    <col min="267" max="267" width="12.125" style="67" customWidth="1"/>
    <col min="268" max="268" width="11.375" style="67" customWidth="1"/>
    <col min="269" max="272" width="12.875" style="67" customWidth="1"/>
    <col min="273" max="273" width="13.125" style="67" customWidth="1"/>
    <col min="274" max="274" width="12.875" style="67" customWidth="1"/>
    <col min="275" max="275" width="13.125" style="67" customWidth="1"/>
    <col min="276" max="283" width="9.625" style="67"/>
    <col min="284" max="284" width="12.625" style="67" customWidth="1"/>
    <col min="285" max="517" width="9.625" style="67"/>
    <col min="518" max="518" width="32.875" style="67" customWidth="1"/>
    <col min="519" max="519" width="6.875" style="67" customWidth="1"/>
    <col min="520" max="520" width="11.125" style="67" customWidth="1"/>
    <col min="521" max="521" width="12.375" style="67" customWidth="1"/>
    <col min="522" max="522" width="13.125" style="67" customWidth="1"/>
    <col min="523" max="523" width="12.125" style="67" customWidth="1"/>
    <col min="524" max="524" width="11.375" style="67" customWidth="1"/>
    <col min="525" max="528" width="12.875" style="67" customWidth="1"/>
    <col min="529" max="529" width="13.125" style="67" customWidth="1"/>
    <col min="530" max="530" width="12.875" style="67" customWidth="1"/>
    <col min="531" max="531" width="13.125" style="67" customWidth="1"/>
    <col min="532" max="539" width="9.625" style="67"/>
    <col min="540" max="540" width="12.625" style="67" customWidth="1"/>
    <col min="541" max="773" width="9.625" style="67"/>
    <col min="774" max="774" width="32.875" style="67" customWidth="1"/>
    <col min="775" max="775" width="6.875" style="67" customWidth="1"/>
    <col min="776" max="776" width="11.125" style="67" customWidth="1"/>
    <col min="777" max="777" width="12.375" style="67" customWidth="1"/>
    <col min="778" max="778" width="13.125" style="67" customWidth="1"/>
    <col min="779" max="779" width="12.125" style="67" customWidth="1"/>
    <col min="780" max="780" width="11.375" style="67" customWidth="1"/>
    <col min="781" max="784" width="12.875" style="67" customWidth="1"/>
    <col min="785" max="785" width="13.125" style="67" customWidth="1"/>
    <col min="786" max="786" width="12.875" style="67" customWidth="1"/>
    <col min="787" max="787" width="13.125" style="67" customWidth="1"/>
    <col min="788" max="795" width="9.625" style="67"/>
    <col min="796" max="796" width="12.625" style="67" customWidth="1"/>
    <col min="797" max="1029" width="9.625" style="67"/>
    <col min="1030" max="1030" width="32.875" style="67" customWidth="1"/>
    <col min="1031" max="1031" width="6.875" style="67" customWidth="1"/>
    <col min="1032" max="1032" width="11.125" style="67" customWidth="1"/>
    <col min="1033" max="1033" width="12.375" style="67" customWidth="1"/>
    <col min="1034" max="1034" width="13.125" style="67" customWidth="1"/>
    <col min="1035" max="1035" width="12.125" style="67" customWidth="1"/>
    <col min="1036" max="1036" width="11.375" style="67" customWidth="1"/>
    <col min="1037" max="1040" width="12.875" style="67" customWidth="1"/>
    <col min="1041" max="1041" width="13.125" style="67" customWidth="1"/>
    <col min="1042" max="1042" width="12.875" style="67" customWidth="1"/>
    <col min="1043" max="1043" width="13.125" style="67" customWidth="1"/>
    <col min="1044" max="1051" width="9.625" style="67"/>
    <col min="1052" max="1052" width="12.625" style="67" customWidth="1"/>
    <col min="1053" max="1285" width="9.625" style="67"/>
    <col min="1286" max="1286" width="32.875" style="67" customWidth="1"/>
    <col min="1287" max="1287" width="6.875" style="67" customWidth="1"/>
    <col min="1288" max="1288" width="11.125" style="67" customWidth="1"/>
    <col min="1289" max="1289" width="12.375" style="67" customWidth="1"/>
    <col min="1290" max="1290" width="13.125" style="67" customWidth="1"/>
    <col min="1291" max="1291" width="12.125" style="67" customWidth="1"/>
    <col min="1292" max="1292" width="11.375" style="67" customWidth="1"/>
    <col min="1293" max="1296" width="12.875" style="67" customWidth="1"/>
    <col min="1297" max="1297" width="13.125" style="67" customWidth="1"/>
    <col min="1298" max="1298" width="12.875" style="67" customWidth="1"/>
    <col min="1299" max="1299" width="13.125" style="67" customWidth="1"/>
    <col min="1300" max="1307" width="9.625" style="67"/>
    <col min="1308" max="1308" width="12.625" style="67" customWidth="1"/>
    <col min="1309" max="1541" width="9.625" style="67"/>
    <col min="1542" max="1542" width="32.875" style="67" customWidth="1"/>
    <col min="1543" max="1543" width="6.875" style="67" customWidth="1"/>
    <col min="1544" max="1544" width="11.125" style="67" customWidth="1"/>
    <col min="1545" max="1545" width="12.375" style="67" customWidth="1"/>
    <col min="1546" max="1546" width="13.125" style="67" customWidth="1"/>
    <col min="1547" max="1547" width="12.125" style="67" customWidth="1"/>
    <col min="1548" max="1548" width="11.375" style="67" customWidth="1"/>
    <col min="1549" max="1552" width="12.875" style="67" customWidth="1"/>
    <col min="1553" max="1553" width="13.125" style="67" customWidth="1"/>
    <col min="1554" max="1554" width="12.875" style="67" customWidth="1"/>
    <col min="1555" max="1555" width="13.125" style="67" customWidth="1"/>
    <col min="1556" max="1563" width="9.625" style="67"/>
    <col min="1564" max="1564" width="12.625" style="67" customWidth="1"/>
    <col min="1565" max="1797" width="9.625" style="67"/>
    <col min="1798" max="1798" width="32.875" style="67" customWidth="1"/>
    <col min="1799" max="1799" width="6.875" style="67" customWidth="1"/>
    <col min="1800" max="1800" width="11.125" style="67" customWidth="1"/>
    <col min="1801" max="1801" width="12.375" style="67" customWidth="1"/>
    <col min="1802" max="1802" width="13.125" style="67" customWidth="1"/>
    <col min="1803" max="1803" width="12.125" style="67" customWidth="1"/>
    <col min="1804" max="1804" width="11.375" style="67" customWidth="1"/>
    <col min="1805" max="1808" width="12.875" style="67" customWidth="1"/>
    <col min="1809" max="1809" width="13.125" style="67" customWidth="1"/>
    <col min="1810" max="1810" width="12.875" style="67" customWidth="1"/>
    <col min="1811" max="1811" width="13.125" style="67" customWidth="1"/>
    <col min="1812" max="1819" width="9.625" style="67"/>
    <col min="1820" max="1820" width="12.625" style="67" customWidth="1"/>
    <col min="1821" max="2053" width="9.625" style="67"/>
    <col min="2054" max="2054" width="32.875" style="67" customWidth="1"/>
    <col min="2055" max="2055" width="6.875" style="67" customWidth="1"/>
    <col min="2056" max="2056" width="11.125" style="67" customWidth="1"/>
    <col min="2057" max="2057" width="12.375" style="67" customWidth="1"/>
    <col min="2058" max="2058" width="13.125" style="67" customWidth="1"/>
    <col min="2059" max="2059" width="12.125" style="67" customWidth="1"/>
    <col min="2060" max="2060" width="11.375" style="67" customWidth="1"/>
    <col min="2061" max="2064" width="12.875" style="67" customWidth="1"/>
    <col min="2065" max="2065" width="13.125" style="67" customWidth="1"/>
    <col min="2066" max="2066" width="12.875" style="67" customWidth="1"/>
    <col min="2067" max="2067" width="13.125" style="67" customWidth="1"/>
    <col min="2068" max="2075" width="9.625" style="67"/>
    <col min="2076" max="2076" width="12.625" style="67" customWidth="1"/>
    <col min="2077" max="2309" width="9.625" style="67"/>
    <col min="2310" max="2310" width="32.875" style="67" customWidth="1"/>
    <col min="2311" max="2311" width="6.875" style="67" customWidth="1"/>
    <col min="2312" max="2312" width="11.125" style="67" customWidth="1"/>
    <col min="2313" max="2313" width="12.375" style="67" customWidth="1"/>
    <col min="2314" max="2314" width="13.125" style="67" customWidth="1"/>
    <col min="2315" max="2315" width="12.125" style="67" customWidth="1"/>
    <col min="2316" max="2316" width="11.375" style="67" customWidth="1"/>
    <col min="2317" max="2320" width="12.875" style="67" customWidth="1"/>
    <col min="2321" max="2321" width="13.125" style="67" customWidth="1"/>
    <col min="2322" max="2322" width="12.875" style="67" customWidth="1"/>
    <col min="2323" max="2323" width="13.125" style="67" customWidth="1"/>
    <col min="2324" max="2331" width="9.625" style="67"/>
    <col min="2332" max="2332" width="12.625" style="67" customWidth="1"/>
    <col min="2333" max="2565" width="9.625" style="67"/>
    <col min="2566" max="2566" width="32.875" style="67" customWidth="1"/>
    <col min="2567" max="2567" width="6.875" style="67" customWidth="1"/>
    <col min="2568" max="2568" width="11.125" style="67" customWidth="1"/>
    <col min="2569" max="2569" width="12.375" style="67" customWidth="1"/>
    <col min="2570" max="2570" width="13.125" style="67" customWidth="1"/>
    <col min="2571" max="2571" width="12.125" style="67" customWidth="1"/>
    <col min="2572" max="2572" width="11.375" style="67" customWidth="1"/>
    <col min="2573" max="2576" width="12.875" style="67" customWidth="1"/>
    <col min="2577" max="2577" width="13.125" style="67" customWidth="1"/>
    <col min="2578" max="2578" width="12.875" style="67" customWidth="1"/>
    <col min="2579" max="2579" width="13.125" style="67" customWidth="1"/>
    <col min="2580" max="2587" width="9.625" style="67"/>
    <col min="2588" max="2588" width="12.625" style="67" customWidth="1"/>
    <col min="2589" max="2821" width="9.625" style="67"/>
    <col min="2822" max="2822" width="32.875" style="67" customWidth="1"/>
    <col min="2823" max="2823" width="6.875" style="67" customWidth="1"/>
    <col min="2824" max="2824" width="11.125" style="67" customWidth="1"/>
    <col min="2825" max="2825" width="12.375" style="67" customWidth="1"/>
    <col min="2826" max="2826" width="13.125" style="67" customWidth="1"/>
    <col min="2827" max="2827" width="12.125" style="67" customWidth="1"/>
    <col min="2828" max="2828" width="11.375" style="67" customWidth="1"/>
    <col min="2829" max="2832" width="12.875" style="67" customWidth="1"/>
    <col min="2833" max="2833" width="13.125" style="67" customWidth="1"/>
    <col min="2834" max="2834" width="12.875" style="67" customWidth="1"/>
    <col min="2835" max="2835" width="13.125" style="67" customWidth="1"/>
    <col min="2836" max="2843" width="9.625" style="67"/>
    <col min="2844" max="2844" width="12.625" style="67" customWidth="1"/>
    <col min="2845" max="3077" width="9.625" style="67"/>
    <col min="3078" max="3078" width="32.875" style="67" customWidth="1"/>
    <col min="3079" max="3079" width="6.875" style="67" customWidth="1"/>
    <col min="3080" max="3080" width="11.125" style="67" customWidth="1"/>
    <col min="3081" max="3081" width="12.375" style="67" customWidth="1"/>
    <col min="3082" max="3082" width="13.125" style="67" customWidth="1"/>
    <col min="3083" max="3083" width="12.125" style="67" customWidth="1"/>
    <col min="3084" max="3084" width="11.375" style="67" customWidth="1"/>
    <col min="3085" max="3088" width="12.875" style="67" customWidth="1"/>
    <col min="3089" max="3089" width="13.125" style="67" customWidth="1"/>
    <col min="3090" max="3090" width="12.875" style="67" customWidth="1"/>
    <col min="3091" max="3091" width="13.125" style="67" customWidth="1"/>
    <col min="3092" max="3099" width="9.625" style="67"/>
    <col min="3100" max="3100" width="12.625" style="67" customWidth="1"/>
    <col min="3101" max="3333" width="9.625" style="67"/>
    <col min="3334" max="3334" width="32.875" style="67" customWidth="1"/>
    <col min="3335" max="3335" width="6.875" style="67" customWidth="1"/>
    <col min="3336" max="3336" width="11.125" style="67" customWidth="1"/>
    <col min="3337" max="3337" width="12.375" style="67" customWidth="1"/>
    <col min="3338" max="3338" width="13.125" style="67" customWidth="1"/>
    <col min="3339" max="3339" width="12.125" style="67" customWidth="1"/>
    <col min="3340" max="3340" width="11.375" style="67" customWidth="1"/>
    <col min="3341" max="3344" width="12.875" style="67" customWidth="1"/>
    <col min="3345" max="3345" width="13.125" style="67" customWidth="1"/>
    <col min="3346" max="3346" width="12.875" style="67" customWidth="1"/>
    <col min="3347" max="3347" width="13.125" style="67" customWidth="1"/>
    <col min="3348" max="3355" width="9.625" style="67"/>
    <col min="3356" max="3356" width="12.625" style="67" customWidth="1"/>
    <col min="3357" max="3589" width="9.625" style="67"/>
    <col min="3590" max="3590" width="32.875" style="67" customWidth="1"/>
    <col min="3591" max="3591" width="6.875" style="67" customWidth="1"/>
    <col min="3592" max="3592" width="11.125" style="67" customWidth="1"/>
    <col min="3593" max="3593" width="12.375" style="67" customWidth="1"/>
    <col min="3594" max="3594" width="13.125" style="67" customWidth="1"/>
    <col min="3595" max="3595" width="12.125" style="67" customWidth="1"/>
    <col min="3596" max="3596" width="11.375" style="67" customWidth="1"/>
    <col min="3597" max="3600" width="12.875" style="67" customWidth="1"/>
    <col min="3601" max="3601" width="13.125" style="67" customWidth="1"/>
    <col min="3602" max="3602" width="12.875" style="67" customWidth="1"/>
    <col min="3603" max="3603" width="13.125" style="67" customWidth="1"/>
    <col min="3604" max="3611" width="9.625" style="67"/>
    <col min="3612" max="3612" width="12.625" style="67" customWidth="1"/>
    <col min="3613" max="3845" width="9.625" style="67"/>
    <col min="3846" max="3846" width="32.875" style="67" customWidth="1"/>
    <col min="3847" max="3847" width="6.875" style="67" customWidth="1"/>
    <col min="3848" max="3848" width="11.125" style="67" customWidth="1"/>
    <col min="3849" max="3849" width="12.375" style="67" customWidth="1"/>
    <col min="3850" max="3850" width="13.125" style="67" customWidth="1"/>
    <col min="3851" max="3851" width="12.125" style="67" customWidth="1"/>
    <col min="3852" max="3852" width="11.375" style="67" customWidth="1"/>
    <col min="3853" max="3856" width="12.875" style="67" customWidth="1"/>
    <col min="3857" max="3857" width="13.125" style="67" customWidth="1"/>
    <col min="3858" max="3858" width="12.875" style="67" customWidth="1"/>
    <col min="3859" max="3859" width="13.125" style="67" customWidth="1"/>
    <col min="3860" max="3867" width="9.625" style="67"/>
    <col min="3868" max="3868" width="12.625" style="67" customWidth="1"/>
    <col min="3869" max="4101" width="9.625" style="67"/>
    <col min="4102" max="4102" width="32.875" style="67" customWidth="1"/>
    <col min="4103" max="4103" width="6.875" style="67" customWidth="1"/>
    <col min="4104" max="4104" width="11.125" style="67" customWidth="1"/>
    <col min="4105" max="4105" width="12.375" style="67" customWidth="1"/>
    <col min="4106" max="4106" width="13.125" style="67" customWidth="1"/>
    <col min="4107" max="4107" width="12.125" style="67" customWidth="1"/>
    <col min="4108" max="4108" width="11.375" style="67" customWidth="1"/>
    <col min="4109" max="4112" width="12.875" style="67" customWidth="1"/>
    <col min="4113" max="4113" width="13.125" style="67" customWidth="1"/>
    <col min="4114" max="4114" width="12.875" style="67" customWidth="1"/>
    <col min="4115" max="4115" width="13.125" style="67" customWidth="1"/>
    <col min="4116" max="4123" width="9.625" style="67"/>
    <col min="4124" max="4124" width="12.625" style="67" customWidth="1"/>
    <col min="4125" max="4357" width="9.625" style="67"/>
    <col min="4358" max="4358" width="32.875" style="67" customWidth="1"/>
    <col min="4359" max="4359" width="6.875" style="67" customWidth="1"/>
    <col min="4360" max="4360" width="11.125" style="67" customWidth="1"/>
    <col min="4361" max="4361" width="12.375" style="67" customWidth="1"/>
    <col min="4362" max="4362" width="13.125" style="67" customWidth="1"/>
    <col min="4363" max="4363" width="12.125" style="67" customWidth="1"/>
    <col min="4364" max="4364" width="11.375" style="67" customWidth="1"/>
    <col min="4365" max="4368" width="12.875" style="67" customWidth="1"/>
    <col min="4369" max="4369" width="13.125" style="67" customWidth="1"/>
    <col min="4370" max="4370" width="12.875" style="67" customWidth="1"/>
    <col min="4371" max="4371" width="13.125" style="67" customWidth="1"/>
    <col min="4372" max="4379" width="9.625" style="67"/>
    <col min="4380" max="4380" width="12.625" style="67" customWidth="1"/>
    <col min="4381" max="4613" width="9.625" style="67"/>
    <col min="4614" max="4614" width="32.875" style="67" customWidth="1"/>
    <col min="4615" max="4615" width="6.875" style="67" customWidth="1"/>
    <col min="4616" max="4616" width="11.125" style="67" customWidth="1"/>
    <col min="4617" max="4617" width="12.375" style="67" customWidth="1"/>
    <col min="4618" max="4618" width="13.125" style="67" customWidth="1"/>
    <col min="4619" max="4619" width="12.125" style="67" customWidth="1"/>
    <col min="4620" max="4620" width="11.375" style="67" customWidth="1"/>
    <col min="4621" max="4624" width="12.875" style="67" customWidth="1"/>
    <col min="4625" max="4625" width="13.125" style="67" customWidth="1"/>
    <col min="4626" max="4626" width="12.875" style="67" customWidth="1"/>
    <col min="4627" max="4627" width="13.125" style="67" customWidth="1"/>
    <col min="4628" max="4635" width="9.625" style="67"/>
    <col min="4636" max="4636" width="12.625" style="67" customWidth="1"/>
    <col min="4637" max="4869" width="9.625" style="67"/>
    <col min="4870" max="4870" width="32.875" style="67" customWidth="1"/>
    <col min="4871" max="4871" width="6.875" style="67" customWidth="1"/>
    <col min="4872" max="4872" width="11.125" style="67" customWidth="1"/>
    <col min="4873" max="4873" width="12.375" style="67" customWidth="1"/>
    <col min="4874" max="4874" width="13.125" style="67" customWidth="1"/>
    <col min="4875" max="4875" width="12.125" style="67" customWidth="1"/>
    <col min="4876" max="4876" width="11.375" style="67" customWidth="1"/>
    <col min="4877" max="4880" width="12.875" style="67" customWidth="1"/>
    <col min="4881" max="4881" width="13.125" style="67" customWidth="1"/>
    <col min="4882" max="4882" width="12.875" style="67" customWidth="1"/>
    <col min="4883" max="4883" width="13.125" style="67" customWidth="1"/>
    <col min="4884" max="4891" width="9.625" style="67"/>
    <col min="4892" max="4892" width="12.625" style="67" customWidth="1"/>
    <col min="4893" max="5125" width="9.625" style="67"/>
    <col min="5126" max="5126" width="32.875" style="67" customWidth="1"/>
    <col min="5127" max="5127" width="6.875" style="67" customWidth="1"/>
    <col min="5128" max="5128" width="11.125" style="67" customWidth="1"/>
    <col min="5129" max="5129" width="12.375" style="67" customWidth="1"/>
    <col min="5130" max="5130" width="13.125" style="67" customWidth="1"/>
    <col min="5131" max="5131" width="12.125" style="67" customWidth="1"/>
    <col min="5132" max="5132" width="11.375" style="67" customWidth="1"/>
    <col min="5133" max="5136" width="12.875" style="67" customWidth="1"/>
    <col min="5137" max="5137" width="13.125" style="67" customWidth="1"/>
    <col min="5138" max="5138" width="12.875" style="67" customWidth="1"/>
    <col min="5139" max="5139" width="13.125" style="67" customWidth="1"/>
    <col min="5140" max="5147" width="9.625" style="67"/>
    <col min="5148" max="5148" width="12.625" style="67" customWidth="1"/>
    <col min="5149" max="5381" width="9.625" style="67"/>
    <col min="5382" max="5382" width="32.875" style="67" customWidth="1"/>
    <col min="5383" max="5383" width="6.875" style="67" customWidth="1"/>
    <col min="5384" max="5384" width="11.125" style="67" customWidth="1"/>
    <col min="5385" max="5385" width="12.375" style="67" customWidth="1"/>
    <col min="5386" max="5386" width="13.125" style="67" customWidth="1"/>
    <col min="5387" max="5387" width="12.125" style="67" customWidth="1"/>
    <col min="5388" max="5388" width="11.375" style="67" customWidth="1"/>
    <col min="5389" max="5392" width="12.875" style="67" customWidth="1"/>
    <col min="5393" max="5393" width="13.125" style="67" customWidth="1"/>
    <col min="5394" max="5394" width="12.875" style="67" customWidth="1"/>
    <col min="5395" max="5395" width="13.125" style="67" customWidth="1"/>
    <col min="5396" max="5403" width="9.625" style="67"/>
    <col min="5404" max="5404" width="12.625" style="67" customWidth="1"/>
    <col min="5405" max="5637" width="9.625" style="67"/>
    <col min="5638" max="5638" width="32.875" style="67" customWidth="1"/>
    <col min="5639" max="5639" width="6.875" style="67" customWidth="1"/>
    <col min="5640" max="5640" width="11.125" style="67" customWidth="1"/>
    <col min="5641" max="5641" width="12.375" style="67" customWidth="1"/>
    <col min="5642" max="5642" width="13.125" style="67" customWidth="1"/>
    <col min="5643" max="5643" width="12.125" style="67" customWidth="1"/>
    <col min="5644" max="5644" width="11.375" style="67" customWidth="1"/>
    <col min="5645" max="5648" width="12.875" style="67" customWidth="1"/>
    <col min="5649" max="5649" width="13.125" style="67" customWidth="1"/>
    <col min="5650" max="5650" width="12.875" style="67" customWidth="1"/>
    <col min="5651" max="5651" width="13.125" style="67" customWidth="1"/>
    <col min="5652" max="5659" width="9.625" style="67"/>
    <col min="5660" max="5660" width="12.625" style="67" customWidth="1"/>
    <col min="5661" max="5893" width="9.625" style="67"/>
    <col min="5894" max="5894" width="32.875" style="67" customWidth="1"/>
    <col min="5895" max="5895" width="6.875" style="67" customWidth="1"/>
    <col min="5896" max="5896" width="11.125" style="67" customWidth="1"/>
    <col min="5897" max="5897" width="12.375" style="67" customWidth="1"/>
    <col min="5898" max="5898" width="13.125" style="67" customWidth="1"/>
    <col min="5899" max="5899" width="12.125" style="67" customWidth="1"/>
    <col min="5900" max="5900" width="11.375" style="67" customWidth="1"/>
    <col min="5901" max="5904" width="12.875" style="67" customWidth="1"/>
    <col min="5905" max="5905" width="13.125" style="67" customWidth="1"/>
    <col min="5906" max="5906" width="12.875" style="67" customWidth="1"/>
    <col min="5907" max="5907" width="13.125" style="67" customWidth="1"/>
    <col min="5908" max="5915" width="9.625" style="67"/>
    <col min="5916" max="5916" width="12.625" style="67" customWidth="1"/>
    <col min="5917" max="6149" width="9.625" style="67"/>
    <col min="6150" max="6150" width="32.875" style="67" customWidth="1"/>
    <col min="6151" max="6151" width="6.875" style="67" customWidth="1"/>
    <col min="6152" max="6152" width="11.125" style="67" customWidth="1"/>
    <col min="6153" max="6153" width="12.375" style="67" customWidth="1"/>
    <col min="6154" max="6154" width="13.125" style="67" customWidth="1"/>
    <col min="6155" max="6155" width="12.125" style="67" customWidth="1"/>
    <col min="6156" max="6156" width="11.375" style="67" customWidth="1"/>
    <col min="6157" max="6160" width="12.875" style="67" customWidth="1"/>
    <col min="6161" max="6161" width="13.125" style="67" customWidth="1"/>
    <col min="6162" max="6162" width="12.875" style="67" customWidth="1"/>
    <col min="6163" max="6163" width="13.125" style="67" customWidth="1"/>
    <col min="6164" max="6171" width="9.625" style="67"/>
    <col min="6172" max="6172" width="12.625" style="67" customWidth="1"/>
    <col min="6173" max="6405" width="9.625" style="67"/>
    <col min="6406" max="6406" width="32.875" style="67" customWidth="1"/>
    <col min="6407" max="6407" width="6.875" style="67" customWidth="1"/>
    <col min="6408" max="6408" width="11.125" style="67" customWidth="1"/>
    <col min="6409" max="6409" width="12.375" style="67" customWidth="1"/>
    <col min="6410" max="6410" width="13.125" style="67" customWidth="1"/>
    <col min="6411" max="6411" width="12.125" style="67" customWidth="1"/>
    <col min="6412" max="6412" width="11.375" style="67" customWidth="1"/>
    <col min="6413" max="6416" width="12.875" style="67" customWidth="1"/>
    <col min="6417" max="6417" width="13.125" style="67" customWidth="1"/>
    <col min="6418" max="6418" width="12.875" style="67" customWidth="1"/>
    <col min="6419" max="6419" width="13.125" style="67" customWidth="1"/>
    <col min="6420" max="6427" width="9.625" style="67"/>
    <col min="6428" max="6428" width="12.625" style="67" customWidth="1"/>
    <col min="6429" max="6661" width="9.625" style="67"/>
    <col min="6662" max="6662" width="32.875" style="67" customWidth="1"/>
    <col min="6663" max="6663" width="6.875" style="67" customWidth="1"/>
    <col min="6664" max="6664" width="11.125" style="67" customWidth="1"/>
    <col min="6665" max="6665" width="12.375" style="67" customWidth="1"/>
    <col min="6666" max="6666" width="13.125" style="67" customWidth="1"/>
    <col min="6667" max="6667" width="12.125" style="67" customWidth="1"/>
    <col min="6668" max="6668" width="11.375" style="67" customWidth="1"/>
    <col min="6669" max="6672" width="12.875" style="67" customWidth="1"/>
    <col min="6673" max="6673" width="13.125" style="67" customWidth="1"/>
    <col min="6674" max="6674" width="12.875" style="67" customWidth="1"/>
    <col min="6675" max="6675" width="13.125" style="67" customWidth="1"/>
    <col min="6676" max="6683" width="9.625" style="67"/>
    <col min="6684" max="6684" width="12.625" style="67" customWidth="1"/>
    <col min="6685" max="6917" width="9.625" style="67"/>
    <col min="6918" max="6918" width="32.875" style="67" customWidth="1"/>
    <col min="6919" max="6919" width="6.875" style="67" customWidth="1"/>
    <col min="6920" max="6920" width="11.125" style="67" customWidth="1"/>
    <col min="6921" max="6921" width="12.375" style="67" customWidth="1"/>
    <col min="6922" max="6922" width="13.125" style="67" customWidth="1"/>
    <col min="6923" max="6923" width="12.125" style="67" customWidth="1"/>
    <col min="6924" max="6924" width="11.375" style="67" customWidth="1"/>
    <col min="6925" max="6928" width="12.875" style="67" customWidth="1"/>
    <col min="6929" max="6929" width="13.125" style="67" customWidth="1"/>
    <col min="6930" max="6930" width="12.875" style="67" customWidth="1"/>
    <col min="6931" max="6931" width="13.125" style="67" customWidth="1"/>
    <col min="6932" max="6939" width="9.625" style="67"/>
    <col min="6940" max="6940" width="12.625" style="67" customWidth="1"/>
    <col min="6941" max="7173" width="9.625" style="67"/>
    <col min="7174" max="7174" width="32.875" style="67" customWidth="1"/>
    <col min="7175" max="7175" width="6.875" style="67" customWidth="1"/>
    <col min="7176" max="7176" width="11.125" style="67" customWidth="1"/>
    <col min="7177" max="7177" width="12.375" style="67" customWidth="1"/>
    <col min="7178" max="7178" width="13.125" style="67" customWidth="1"/>
    <col min="7179" max="7179" width="12.125" style="67" customWidth="1"/>
    <col min="7180" max="7180" width="11.375" style="67" customWidth="1"/>
    <col min="7181" max="7184" width="12.875" style="67" customWidth="1"/>
    <col min="7185" max="7185" width="13.125" style="67" customWidth="1"/>
    <col min="7186" max="7186" width="12.875" style="67" customWidth="1"/>
    <col min="7187" max="7187" width="13.125" style="67" customWidth="1"/>
    <col min="7188" max="7195" width="9.625" style="67"/>
    <col min="7196" max="7196" width="12.625" style="67" customWidth="1"/>
    <col min="7197" max="7429" width="9.625" style="67"/>
    <col min="7430" max="7430" width="32.875" style="67" customWidth="1"/>
    <col min="7431" max="7431" width="6.875" style="67" customWidth="1"/>
    <col min="7432" max="7432" width="11.125" style="67" customWidth="1"/>
    <col min="7433" max="7433" width="12.375" style="67" customWidth="1"/>
    <col min="7434" max="7434" width="13.125" style="67" customWidth="1"/>
    <col min="7435" max="7435" width="12.125" style="67" customWidth="1"/>
    <col min="7436" max="7436" width="11.375" style="67" customWidth="1"/>
    <col min="7437" max="7440" width="12.875" style="67" customWidth="1"/>
    <col min="7441" max="7441" width="13.125" style="67" customWidth="1"/>
    <col min="7442" max="7442" width="12.875" style="67" customWidth="1"/>
    <col min="7443" max="7443" width="13.125" style="67" customWidth="1"/>
    <col min="7444" max="7451" width="9.625" style="67"/>
    <col min="7452" max="7452" width="12.625" style="67" customWidth="1"/>
    <col min="7453" max="7685" width="9.625" style="67"/>
    <col min="7686" max="7686" width="32.875" style="67" customWidth="1"/>
    <col min="7687" max="7687" width="6.875" style="67" customWidth="1"/>
    <col min="7688" max="7688" width="11.125" style="67" customWidth="1"/>
    <col min="7689" max="7689" width="12.375" style="67" customWidth="1"/>
    <col min="7690" max="7690" width="13.125" style="67" customWidth="1"/>
    <col min="7691" max="7691" width="12.125" style="67" customWidth="1"/>
    <col min="7692" max="7692" width="11.375" style="67" customWidth="1"/>
    <col min="7693" max="7696" width="12.875" style="67" customWidth="1"/>
    <col min="7697" max="7697" width="13.125" style="67" customWidth="1"/>
    <col min="7698" max="7698" width="12.875" style="67" customWidth="1"/>
    <col min="7699" max="7699" width="13.125" style="67" customWidth="1"/>
    <col min="7700" max="7707" width="9.625" style="67"/>
    <col min="7708" max="7708" width="12.625" style="67" customWidth="1"/>
    <col min="7709" max="7941" width="9.625" style="67"/>
    <col min="7942" max="7942" width="32.875" style="67" customWidth="1"/>
    <col min="7943" max="7943" width="6.875" style="67" customWidth="1"/>
    <col min="7944" max="7944" width="11.125" style="67" customWidth="1"/>
    <col min="7945" max="7945" width="12.375" style="67" customWidth="1"/>
    <col min="7946" max="7946" width="13.125" style="67" customWidth="1"/>
    <col min="7947" max="7947" width="12.125" style="67" customWidth="1"/>
    <col min="7948" max="7948" width="11.375" style="67" customWidth="1"/>
    <col min="7949" max="7952" width="12.875" style="67" customWidth="1"/>
    <col min="7953" max="7953" width="13.125" style="67" customWidth="1"/>
    <col min="7954" max="7954" width="12.875" style="67" customWidth="1"/>
    <col min="7955" max="7955" width="13.125" style="67" customWidth="1"/>
    <col min="7956" max="7963" width="9.625" style="67"/>
    <col min="7964" max="7964" width="12.625" style="67" customWidth="1"/>
    <col min="7965" max="8197" width="9.625" style="67"/>
    <col min="8198" max="8198" width="32.875" style="67" customWidth="1"/>
    <col min="8199" max="8199" width="6.875" style="67" customWidth="1"/>
    <col min="8200" max="8200" width="11.125" style="67" customWidth="1"/>
    <col min="8201" max="8201" width="12.375" style="67" customWidth="1"/>
    <col min="8202" max="8202" width="13.125" style="67" customWidth="1"/>
    <col min="8203" max="8203" width="12.125" style="67" customWidth="1"/>
    <col min="8204" max="8204" width="11.375" style="67" customWidth="1"/>
    <col min="8205" max="8208" width="12.875" style="67" customWidth="1"/>
    <col min="8209" max="8209" width="13.125" style="67" customWidth="1"/>
    <col min="8210" max="8210" width="12.875" style="67" customWidth="1"/>
    <col min="8211" max="8211" width="13.125" style="67" customWidth="1"/>
    <col min="8212" max="8219" width="9.625" style="67"/>
    <col min="8220" max="8220" width="12.625" style="67" customWidth="1"/>
    <col min="8221" max="8453" width="9.625" style="67"/>
    <col min="8454" max="8454" width="32.875" style="67" customWidth="1"/>
    <col min="8455" max="8455" width="6.875" style="67" customWidth="1"/>
    <col min="8456" max="8456" width="11.125" style="67" customWidth="1"/>
    <col min="8457" max="8457" width="12.375" style="67" customWidth="1"/>
    <col min="8458" max="8458" width="13.125" style="67" customWidth="1"/>
    <col min="8459" max="8459" width="12.125" style="67" customWidth="1"/>
    <col min="8460" max="8460" width="11.375" style="67" customWidth="1"/>
    <col min="8461" max="8464" width="12.875" style="67" customWidth="1"/>
    <col min="8465" max="8465" width="13.125" style="67" customWidth="1"/>
    <col min="8466" max="8466" width="12.875" style="67" customWidth="1"/>
    <col min="8467" max="8467" width="13.125" style="67" customWidth="1"/>
    <col min="8468" max="8475" width="9.625" style="67"/>
    <col min="8476" max="8476" width="12.625" style="67" customWidth="1"/>
    <col min="8477" max="8709" width="9.625" style="67"/>
    <col min="8710" max="8710" width="32.875" style="67" customWidth="1"/>
    <col min="8711" max="8711" width="6.875" style="67" customWidth="1"/>
    <col min="8712" max="8712" width="11.125" style="67" customWidth="1"/>
    <col min="8713" max="8713" width="12.375" style="67" customWidth="1"/>
    <col min="8714" max="8714" width="13.125" style="67" customWidth="1"/>
    <col min="8715" max="8715" width="12.125" style="67" customWidth="1"/>
    <col min="8716" max="8716" width="11.375" style="67" customWidth="1"/>
    <col min="8717" max="8720" width="12.875" style="67" customWidth="1"/>
    <col min="8721" max="8721" width="13.125" style="67" customWidth="1"/>
    <col min="8722" max="8722" width="12.875" style="67" customWidth="1"/>
    <col min="8723" max="8723" width="13.125" style="67" customWidth="1"/>
    <col min="8724" max="8731" width="9.625" style="67"/>
    <col min="8732" max="8732" width="12.625" style="67" customWidth="1"/>
    <col min="8733" max="8965" width="9.625" style="67"/>
    <col min="8966" max="8966" width="32.875" style="67" customWidth="1"/>
    <col min="8967" max="8967" width="6.875" style="67" customWidth="1"/>
    <col min="8968" max="8968" width="11.125" style="67" customWidth="1"/>
    <col min="8969" max="8969" width="12.375" style="67" customWidth="1"/>
    <col min="8970" max="8970" width="13.125" style="67" customWidth="1"/>
    <col min="8971" max="8971" width="12.125" style="67" customWidth="1"/>
    <col min="8972" max="8972" width="11.375" style="67" customWidth="1"/>
    <col min="8973" max="8976" width="12.875" style="67" customWidth="1"/>
    <col min="8977" max="8977" width="13.125" style="67" customWidth="1"/>
    <col min="8978" max="8978" width="12.875" style="67" customWidth="1"/>
    <col min="8979" max="8979" width="13.125" style="67" customWidth="1"/>
    <col min="8980" max="8987" width="9.625" style="67"/>
    <col min="8988" max="8988" width="12.625" style="67" customWidth="1"/>
    <col min="8989" max="9221" width="9.625" style="67"/>
    <col min="9222" max="9222" width="32.875" style="67" customWidth="1"/>
    <col min="9223" max="9223" width="6.875" style="67" customWidth="1"/>
    <col min="9224" max="9224" width="11.125" style="67" customWidth="1"/>
    <col min="9225" max="9225" width="12.375" style="67" customWidth="1"/>
    <col min="9226" max="9226" width="13.125" style="67" customWidth="1"/>
    <col min="9227" max="9227" width="12.125" style="67" customWidth="1"/>
    <col min="9228" max="9228" width="11.375" style="67" customWidth="1"/>
    <col min="9229" max="9232" width="12.875" style="67" customWidth="1"/>
    <col min="9233" max="9233" width="13.125" style="67" customWidth="1"/>
    <col min="9234" max="9234" width="12.875" style="67" customWidth="1"/>
    <col min="9235" max="9235" width="13.125" style="67" customWidth="1"/>
    <col min="9236" max="9243" width="9.625" style="67"/>
    <col min="9244" max="9244" width="12.625" style="67" customWidth="1"/>
    <col min="9245" max="9477" width="9.625" style="67"/>
    <col min="9478" max="9478" width="32.875" style="67" customWidth="1"/>
    <col min="9479" max="9479" width="6.875" style="67" customWidth="1"/>
    <col min="9480" max="9480" width="11.125" style="67" customWidth="1"/>
    <col min="9481" max="9481" width="12.375" style="67" customWidth="1"/>
    <col min="9482" max="9482" width="13.125" style="67" customWidth="1"/>
    <col min="9483" max="9483" width="12.125" style="67" customWidth="1"/>
    <col min="9484" max="9484" width="11.375" style="67" customWidth="1"/>
    <col min="9485" max="9488" width="12.875" style="67" customWidth="1"/>
    <col min="9489" max="9489" width="13.125" style="67" customWidth="1"/>
    <col min="9490" max="9490" width="12.875" style="67" customWidth="1"/>
    <col min="9491" max="9491" width="13.125" style="67" customWidth="1"/>
    <col min="9492" max="9499" width="9.625" style="67"/>
    <col min="9500" max="9500" width="12.625" style="67" customWidth="1"/>
    <col min="9501" max="9733" width="9.625" style="67"/>
    <col min="9734" max="9734" width="32.875" style="67" customWidth="1"/>
    <col min="9735" max="9735" width="6.875" style="67" customWidth="1"/>
    <col min="9736" max="9736" width="11.125" style="67" customWidth="1"/>
    <col min="9737" max="9737" width="12.375" style="67" customWidth="1"/>
    <col min="9738" max="9738" width="13.125" style="67" customWidth="1"/>
    <col min="9739" max="9739" width="12.125" style="67" customWidth="1"/>
    <col min="9740" max="9740" width="11.375" style="67" customWidth="1"/>
    <col min="9741" max="9744" width="12.875" style="67" customWidth="1"/>
    <col min="9745" max="9745" width="13.125" style="67" customWidth="1"/>
    <col min="9746" max="9746" width="12.875" style="67" customWidth="1"/>
    <col min="9747" max="9747" width="13.125" style="67" customWidth="1"/>
    <col min="9748" max="9755" width="9.625" style="67"/>
    <col min="9756" max="9756" width="12.625" style="67" customWidth="1"/>
    <col min="9757" max="9989" width="9.625" style="67"/>
    <col min="9990" max="9990" width="32.875" style="67" customWidth="1"/>
    <col min="9991" max="9991" width="6.875" style="67" customWidth="1"/>
    <col min="9992" max="9992" width="11.125" style="67" customWidth="1"/>
    <col min="9993" max="9993" width="12.375" style="67" customWidth="1"/>
    <col min="9994" max="9994" width="13.125" style="67" customWidth="1"/>
    <col min="9995" max="9995" width="12.125" style="67" customWidth="1"/>
    <col min="9996" max="9996" width="11.375" style="67" customWidth="1"/>
    <col min="9997" max="10000" width="12.875" style="67" customWidth="1"/>
    <col min="10001" max="10001" width="13.125" style="67" customWidth="1"/>
    <col min="10002" max="10002" width="12.875" style="67" customWidth="1"/>
    <col min="10003" max="10003" width="13.125" style="67" customWidth="1"/>
    <col min="10004" max="10011" width="9.625" style="67"/>
    <col min="10012" max="10012" width="12.625" style="67" customWidth="1"/>
    <col min="10013" max="10245" width="9.625" style="67"/>
    <col min="10246" max="10246" width="32.875" style="67" customWidth="1"/>
    <col min="10247" max="10247" width="6.875" style="67" customWidth="1"/>
    <col min="10248" max="10248" width="11.125" style="67" customWidth="1"/>
    <col min="10249" max="10249" width="12.375" style="67" customWidth="1"/>
    <col min="10250" max="10250" width="13.125" style="67" customWidth="1"/>
    <col min="10251" max="10251" width="12.125" style="67" customWidth="1"/>
    <col min="10252" max="10252" width="11.375" style="67" customWidth="1"/>
    <col min="10253" max="10256" width="12.875" style="67" customWidth="1"/>
    <col min="10257" max="10257" width="13.125" style="67" customWidth="1"/>
    <col min="10258" max="10258" width="12.875" style="67" customWidth="1"/>
    <col min="10259" max="10259" width="13.125" style="67" customWidth="1"/>
    <col min="10260" max="10267" width="9.625" style="67"/>
    <col min="10268" max="10268" width="12.625" style="67" customWidth="1"/>
    <col min="10269" max="10501" width="9.625" style="67"/>
    <col min="10502" max="10502" width="32.875" style="67" customWidth="1"/>
    <col min="10503" max="10503" width="6.875" style="67" customWidth="1"/>
    <col min="10504" max="10504" width="11.125" style="67" customWidth="1"/>
    <col min="10505" max="10505" width="12.375" style="67" customWidth="1"/>
    <col min="10506" max="10506" width="13.125" style="67" customWidth="1"/>
    <col min="10507" max="10507" width="12.125" style="67" customWidth="1"/>
    <col min="10508" max="10508" width="11.375" style="67" customWidth="1"/>
    <col min="10509" max="10512" width="12.875" style="67" customWidth="1"/>
    <col min="10513" max="10513" width="13.125" style="67" customWidth="1"/>
    <col min="10514" max="10514" width="12.875" style="67" customWidth="1"/>
    <col min="10515" max="10515" width="13.125" style="67" customWidth="1"/>
    <col min="10516" max="10523" width="9.625" style="67"/>
    <col min="10524" max="10524" width="12.625" style="67" customWidth="1"/>
    <col min="10525" max="10757" width="9.625" style="67"/>
    <col min="10758" max="10758" width="32.875" style="67" customWidth="1"/>
    <col min="10759" max="10759" width="6.875" style="67" customWidth="1"/>
    <col min="10760" max="10760" width="11.125" style="67" customWidth="1"/>
    <col min="10761" max="10761" width="12.375" style="67" customWidth="1"/>
    <col min="10762" max="10762" width="13.125" style="67" customWidth="1"/>
    <col min="10763" max="10763" width="12.125" style="67" customWidth="1"/>
    <col min="10764" max="10764" width="11.375" style="67" customWidth="1"/>
    <col min="10765" max="10768" width="12.875" style="67" customWidth="1"/>
    <col min="10769" max="10769" width="13.125" style="67" customWidth="1"/>
    <col min="10770" max="10770" width="12.875" style="67" customWidth="1"/>
    <col min="10771" max="10771" width="13.125" style="67" customWidth="1"/>
    <col min="10772" max="10779" width="9.625" style="67"/>
    <col min="10780" max="10780" width="12.625" style="67" customWidth="1"/>
    <col min="10781" max="11013" width="9.625" style="67"/>
    <col min="11014" max="11014" width="32.875" style="67" customWidth="1"/>
    <col min="11015" max="11015" width="6.875" style="67" customWidth="1"/>
    <col min="11016" max="11016" width="11.125" style="67" customWidth="1"/>
    <col min="11017" max="11017" width="12.375" style="67" customWidth="1"/>
    <col min="11018" max="11018" width="13.125" style="67" customWidth="1"/>
    <col min="11019" max="11019" width="12.125" style="67" customWidth="1"/>
    <col min="11020" max="11020" width="11.375" style="67" customWidth="1"/>
    <col min="11021" max="11024" width="12.875" style="67" customWidth="1"/>
    <col min="11025" max="11025" width="13.125" style="67" customWidth="1"/>
    <col min="11026" max="11026" width="12.875" style="67" customWidth="1"/>
    <col min="11027" max="11027" width="13.125" style="67" customWidth="1"/>
    <col min="11028" max="11035" width="9.625" style="67"/>
    <col min="11036" max="11036" width="12.625" style="67" customWidth="1"/>
    <col min="11037" max="11269" width="9.625" style="67"/>
    <col min="11270" max="11270" width="32.875" style="67" customWidth="1"/>
    <col min="11271" max="11271" width="6.875" style="67" customWidth="1"/>
    <col min="11272" max="11272" width="11.125" style="67" customWidth="1"/>
    <col min="11273" max="11273" width="12.375" style="67" customWidth="1"/>
    <col min="11274" max="11274" width="13.125" style="67" customWidth="1"/>
    <col min="11275" max="11275" width="12.125" style="67" customWidth="1"/>
    <col min="11276" max="11276" width="11.375" style="67" customWidth="1"/>
    <col min="11277" max="11280" width="12.875" style="67" customWidth="1"/>
    <col min="11281" max="11281" width="13.125" style="67" customWidth="1"/>
    <col min="11282" max="11282" width="12.875" style="67" customWidth="1"/>
    <col min="11283" max="11283" width="13.125" style="67" customWidth="1"/>
    <col min="11284" max="11291" width="9.625" style="67"/>
    <col min="11292" max="11292" width="12.625" style="67" customWidth="1"/>
    <col min="11293" max="11525" width="9.625" style="67"/>
    <col min="11526" max="11526" width="32.875" style="67" customWidth="1"/>
    <col min="11527" max="11527" width="6.875" style="67" customWidth="1"/>
    <col min="11528" max="11528" width="11.125" style="67" customWidth="1"/>
    <col min="11529" max="11529" width="12.375" style="67" customWidth="1"/>
    <col min="11530" max="11530" width="13.125" style="67" customWidth="1"/>
    <col min="11531" max="11531" width="12.125" style="67" customWidth="1"/>
    <col min="11532" max="11532" width="11.375" style="67" customWidth="1"/>
    <col min="11533" max="11536" width="12.875" style="67" customWidth="1"/>
    <col min="11537" max="11537" width="13.125" style="67" customWidth="1"/>
    <col min="11538" max="11538" width="12.875" style="67" customWidth="1"/>
    <col min="11539" max="11539" width="13.125" style="67" customWidth="1"/>
    <col min="11540" max="11547" width="9.625" style="67"/>
    <col min="11548" max="11548" width="12.625" style="67" customWidth="1"/>
    <col min="11549" max="11781" width="9.625" style="67"/>
    <col min="11782" max="11782" width="32.875" style="67" customWidth="1"/>
    <col min="11783" max="11783" width="6.875" style="67" customWidth="1"/>
    <col min="11784" max="11784" width="11.125" style="67" customWidth="1"/>
    <col min="11785" max="11785" width="12.375" style="67" customWidth="1"/>
    <col min="11786" max="11786" width="13.125" style="67" customWidth="1"/>
    <col min="11787" max="11787" width="12.125" style="67" customWidth="1"/>
    <col min="11788" max="11788" width="11.375" style="67" customWidth="1"/>
    <col min="11789" max="11792" width="12.875" style="67" customWidth="1"/>
    <col min="11793" max="11793" width="13.125" style="67" customWidth="1"/>
    <col min="11794" max="11794" width="12.875" style="67" customWidth="1"/>
    <col min="11795" max="11795" width="13.125" style="67" customWidth="1"/>
    <col min="11796" max="11803" width="9.625" style="67"/>
    <col min="11804" max="11804" width="12.625" style="67" customWidth="1"/>
    <col min="11805" max="12037" width="9.625" style="67"/>
    <col min="12038" max="12038" width="32.875" style="67" customWidth="1"/>
    <col min="12039" max="12039" width="6.875" style="67" customWidth="1"/>
    <col min="12040" max="12040" width="11.125" style="67" customWidth="1"/>
    <col min="12041" max="12041" width="12.375" style="67" customWidth="1"/>
    <col min="12042" max="12042" width="13.125" style="67" customWidth="1"/>
    <col min="12043" max="12043" width="12.125" style="67" customWidth="1"/>
    <col min="12044" max="12044" width="11.375" style="67" customWidth="1"/>
    <col min="12045" max="12048" width="12.875" style="67" customWidth="1"/>
    <col min="12049" max="12049" width="13.125" style="67" customWidth="1"/>
    <col min="12050" max="12050" width="12.875" style="67" customWidth="1"/>
    <col min="12051" max="12051" width="13.125" style="67" customWidth="1"/>
    <col min="12052" max="12059" width="9.625" style="67"/>
    <col min="12060" max="12060" width="12.625" style="67" customWidth="1"/>
    <col min="12061" max="12293" width="9.625" style="67"/>
    <col min="12294" max="12294" width="32.875" style="67" customWidth="1"/>
    <col min="12295" max="12295" width="6.875" style="67" customWidth="1"/>
    <col min="12296" max="12296" width="11.125" style="67" customWidth="1"/>
    <col min="12297" max="12297" width="12.375" style="67" customWidth="1"/>
    <col min="12298" max="12298" width="13.125" style="67" customWidth="1"/>
    <col min="12299" max="12299" width="12.125" style="67" customWidth="1"/>
    <col min="12300" max="12300" width="11.375" style="67" customWidth="1"/>
    <col min="12301" max="12304" width="12.875" style="67" customWidth="1"/>
    <col min="12305" max="12305" width="13.125" style="67" customWidth="1"/>
    <col min="12306" max="12306" width="12.875" style="67" customWidth="1"/>
    <col min="12307" max="12307" width="13.125" style="67" customWidth="1"/>
    <col min="12308" max="12315" width="9.625" style="67"/>
    <col min="12316" max="12316" width="12.625" style="67" customWidth="1"/>
    <col min="12317" max="12549" width="9.625" style="67"/>
    <col min="12550" max="12550" width="32.875" style="67" customWidth="1"/>
    <col min="12551" max="12551" width="6.875" style="67" customWidth="1"/>
    <col min="12552" max="12552" width="11.125" style="67" customWidth="1"/>
    <col min="12553" max="12553" width="12.375" style="67" customWidth="1"/>
    <col min="12554" max="12554" width="13.125" style="67" customWidth="1"/>
    <col min="12555" max="12555" width="12.125" style="67" customWidth="1"/>
    <col min="12556" max="12556" width="11.375" style="67" customWidth="1"/>
    <col min="12557" max="12560" width="12.875" style="67" customWidth="1"/>
    <col min="12561" max="12561" width="13.125" style="67" customWidth="1"/>
    <col min="12562" max="12562" width="12.875" style="67" customWidth="1"/>
    <col min="12563" max="12563" width="13.125" style="67" customWidth="1"/>
    <col min="12564" max="12571" width="9.625" style="67"/>
    <col min="12572" max="12572" width="12.625" style="67" customWidth="1"/>
    <col min="12573" max="12805" width="9.625" style="67"/>
    <col min="12806" max="12806" width="32.875" style="67" customWidth="1"/>
    <col min="12807" max="12807" width="6.875" style="67" customWidth="1"/>
    <col min="12808" max="12808" width="11.125" style="67" customWidth="1"/>
    <col min="12809" max="12809" width="12.375" style="67" customWidth="1"/>
    <col min="12810" max="12810" width="13.125" style="67" customWidth="1"/>
    <col min="12811" max="12811" width="12.125" style="67" customWidth="1"/>
    <col min="12812" max="12812" width="11.375" style="67" customWidth="1"/>
    <col min="12813" max="12816" width="12.875" style="67" customWidth="1"/>
    <col min="12817" max="12817" width="13.125" style="67" customWidth="1"/>
    <col min="12818" max="12818" width="12.875" style="67" customWidth="1"/>
    <col min="12819" max="12819" width="13.125" style="67" customWidth="1"/>
    <col min="12820" max="12827" width="9.625" style="67"/>
    <col min="12828" max="12828" width="12.625" style="67" customWidth="1"/>
    <col min="12829" max="13061" width="9.625" style="67"/>
    <col min="13062" max="13062" width="32.875" style="67" customWidth="1"/>
    <col min="13063" max="13063" width="6.875" style="67" customWidth="1"/>
    <col min="13064" max="13064" width="11.125" style="67" customWidth="1"/>
    <col min="13065" max="13065" width="12.375" style="67" customWidth="1"/>
    <col min="13066" max="13066" width="13.125" style="67" customWidth="1"/>
    <col min="13067" max="13067" width="12.125" style="67" customWidth="1"/>
    <col min="13068" max="13068" width="11.375" style="67" customWidth="1"/>
    <col min="13069" max="13072" width="12.875" style="67" customWidth="1"/>
    <col min="13073" max="13073" width="13.125" style="67" customWidth="1"/>
    <col min="13074" max="13074" width="12.875" style="67" customWidth="1"/>
    <col min="13075" max="13075" width="13.125" style="67" customWidth="1"/>
    <col min="13076" max="13083" width="9.625" style="67"/>
    <col min="13084" max="13084" width="12.625" style="67" customWidth="1"/>
    <col min="13085" max="13317" width="9.625" style="67"/>
    <col min="13318" max="13318" width="32.875" style="67" customWidth="1"/>
    <col min="13319" max="13319" width="6.875" style="67" customWidth="1"/>
    <col min="13320" max="13320" width="11.125" style="67" customWidth="1"/>
    <col min="13321" max="13321" width="12.375" style="67" customWidth="1"/>
    <col min="13322" max="13322" width="13.125" style="67" customWidth="1"/>
    <col min="13323" max="13323" width="12.125" style="67" customWidth="1"/>
    <col min="13324" max="13324" width="11.375" style="67" customWidth="1"/>
    <col min="13325" max="13328" width="12.875" style="67" customWidth="1"/>
    <col min="13329" max="13329" width="13.125" style="67" customWidth="1"/>
    <col min="13330" max="13330" width="12.875" style="67" customWidth="1"/>
    <col min="13331" max="13331" width="13.125" style="67" customWidth="1"/>
    <col min="13332" max="13339" width="9.625" style="67"/>
    <col min="13340" max="13340" width="12.625" style="67" customWidth="1"/>
    <col min="13341" max="13573" width="9.625" style="67"/>
    <col min="13574" max="13574" width="32.875" style="67" customWidth="1"/>
    <col min="13575" max="13575" width="6.875" style="67" customWidth="1"/>
    <col min="13576" max="13576" width="11.125" style="67" customWidth="1"/>
    <col min="13577" max="13577" width="12.375" style="67" customWidth="1"/>
    <col min="13578" max="13578" width="13.125" style="67" customWidth="1"/>
    <col min="13579" max="13579" width="12.125" style="67" customWidth="1"/>
    <col min="13580" max="13580" width="11.375" style="67" customWidth="1"/>
    <col min="13581" max="13584" width="12.875" style="67" customWidth="1"/>
    <col min="13585" max="13585" width="13.125" style="67" customWidth="1"/>
    <col min="13586" max="13586" width="12.875" style="67" customWidth="1"/>
    <col min="13587" max="13587" width="13.125" style="67" customWidth="1"/>
    <col min="13588" max="13595" width="9.625" style="67"/>
    <col min="13596" max="13596" width="12.625" style="67" customWidth="1"/>
    <col min="13597" max="13829" width="9.625" style="67"/>
    <col min="13830" max="13830" width="32.875" style="67" customWidth="1"/>
    <col min="13831" max="13831" width="6.875" style="67" customWidth="1"/>
    <col min="13832" max="13832" width="11.125" style="67" customWidth="1"/>
    <col min="13833" max="13833" width="12.375" style="67" customWidth="1"/>
    <col min="13834" max="13834" width="13.125" style="67" customWidth="1"/>
    <col min="13835" max="13835" width="12.125" style="67" customWidth="1"/>
    <col min="13836" max="13836" width="11.375" style="67" customWidth="1"/>
    <col min="13837" max="13840" width="12.875" style="67" customWidth="1"/>
    <col min="13841" max="13841" width="13.125" style="67" customWidth="1"/>
    <col min="13842" max="13842" width="12.875" style="67" customWidth="1"/>
    <col min="13843" max="13843" width="13.125" style="67" customWidth="1"/>
    <col min="13844" max="13851" width="9.625" style="67"/>
    <col min="13852" max="13852" width="12.625" style="67" customWidth="1"/>
    <col min="13853" max="14085" width="9.625" style="67"/>
    <col min="14086" max="14086" width="32.875" style="67" customWidth="1"/>
    <col min="14087" max="14087" width="6.875" style="67" customWidth="1"/>
    <col min="14088" max="14088" width="11.125" style="67" customWidth="1"/>
    <col min="14089" max="14089" width="12.375" style="67" customWidth="1"/>
    <col min="14090" max="14090" width="13.125" style="67" customWidth="1"/>
    <col min="14091" max="14091" width="12.125" style="67" customWidth="1"/>
    <col min="14092" max="14092" width="11.375" style="67" customWidth="1"/>
    <col min="14093" max="14096" width="12.875" style="67" customWidth="1"/>
    <col min="14097" max="14097" width="13.125" style="67" customWidth="1"/>
    <col min="14098" max="14098" width="12.875" style="67" customWidth="1"/>
    <col min="14099" max="14099" width="13.125" style="67" customWidth="1"/>
    <col min="14100" max="14107" width="9.625" style="67"/>
    <col min="14108" max="14108" width="12.625" style="67" customWidth="1"/>
    <col min="14109" max="14341" width="9.625" style="67"/>
    <col min="14342" max="14342" width="32.875" style="67" customWidth="1"/>
    <col min="14343" max="14343" width="6.875" style="67" customWidth="1"/>
    <col min="14344" max="14344" width="11.125" style="67" customWidth="1"/>
    <col min="14345" max="14345" width="12.375" style="67" customWidth="1"/>
    <col min="14346" max="14346" width="13.125" style="67" customWidth="1"/>
    <col min="14347" max="14347" width="12.125" style="67" customWidth="1"/>
    <col min="14348" max="14348" width="11.375" style="67" customWidth="1"/>
    <col min="14349" max="14352" width="12.875" style="67" customWidth="1"/>
    <col min="14353" max="14353" width="13.125" style="67" customWidth="1"/>
    <col min="14354" max="14354" width="12.875" style="67" customWidth="1"/>
    <col min="14355" max="14355" width="13.125" style="67" customWidth="1"/>
    <col min="14356" max="14363" width="9.625" style="67"/>
    <col min="14364" max="14364" width="12.625" style="67" customWidth="1"/>
    <col min="14365" max="14597" width="9.625" style="67"/>
    <col min="14598" max="14598" width="32.875" style="67" customWidth="1"/>
    <col min="14599" max="14599" width="6.875" style="67" customWidth="1"/>
    <col min="14600" max="14600" width="11.125" style="67" customWidth="1"/>
    <col min="14601" max="14601" width="12.375" style="67" customWidth="1"/>
    <col min="14602" max="14602" width="13.125" style="67" customWidth="1"/>
    <col min="14603" max="14603" width="12.125" style="67" customWidth="1"/>
    <col min="14604" max="14604" width="11.375" style="67" customWidth="1"/>
    <col min="14605" max="14608" width="12.875" style="67" customWidth="1"/>
    <col min="14609" max="14609" width="13.125" style="67" customWidth="1"/>
    <col min="14610" max="14610" width="12.875" style="67" customWidth="1"/>
    <col min="14611" max="14611" width="13.125" style="67" customWidth="1"/>
    <col min="14612" max="14619" width="9.625" style="67"/>
    <col min="14620" max="14620" width="12.625" style="67" customWidth="1"/>
    <col min="14621" max="14853" width="9.625" style="67"/>
    <col min="14854" max="14854" width="32.875" style="67" customWidth="1"/>
    <col min="14855" max="14855" width="6.875" style="67" customWidth="1"/>
    <col min="14856" max="14856" width="11.125" style="67" customWidth="1"/>
    <col min="14857" max="14857" width="12.375" style="67" customWidth="1"/>
    <col min="14858" max="14858" width="13.125" style="67" customWidth="1"/>
    <col min="14859" max="14859" width="12.125" style="67" customWidth="1"/>
    <col min="14860" max="14860" width="11.375" style="67" customWidth="1"/>
    <col min="14861" max="14864" width="12.875" style="67" customWidth="1"/>
    <col min="14865" max="14865" width="13.125" style="67" customWidth="1"/>
    <col min="14866" max="14866" width="12.875" style="67" customWidth="1"/>
    <col min="14867" max="14867" width="13.125" style="67" customWidth="1"/>
    <col min="14868" max="14875" width="9.625" style="67"/>
    <col min="14876" max="14876" width="12.625" style="67" customWidth="1"/>
    <col min="14877" max="15109" width="9.625" style="67"/>
    <col min="15110" max="15110" width="32.875" style="67" customWidth="1"/>
    <col min="15111" max="15111" width="6.875" style="67" customWidth="1"/>
    <col min="15112" max="15112" width="11.125" style="67" customWidth="1"/>
    <col min="15113" max="15113" width="12.375" style="67" customWidth="1"/>
    <col min="15114" max="15114" width="13.125" style="67" customWidth="1"/>
    <col min="15115" max="15115" width="12.125" style="67" customWidth="1"/>
    <col min="15116" max="15116" width="11.375" style="67" customWidth="1"/>
    <col min="15117" max="15120" width="12.875" style="67" customWidth="1"/>
    <col min="15121" max="15121" width="13.125" style="67" customWidth="1"/>
    <col min="15122" max="15122" width="12.875" style="67" customWidth="1"/>
    <col min="15123" max="15123" width="13.125" style="67" customWidth="1"/>
    <col min="15124" max="15131" width="9.625" style="67"/>
    <col min="15132" max="15132" width="12.625" style="67" customWidth="1"/>
    <col min="15133" max="15365" width="9.625" style="67"/>
    <col min="15366" max="15366" width="32.875" style="67" customWidth="1"/>
    <col min="15367" max="15367" width="6.875" style="67" customWidth="1"/>
    <col min="15368" max="15368" width="11.125" style="67" customWidth="1"/>
    <col min="15369" max="15369" width="12.375" style="67" customWidth="1"/>
    <col min="15370" max="15370" width="13.125" style="67" customWidth="1"/>
    <col min="15371" max="15371" width="12.125" style="67" customWidth="1"/>
    <col min="15372" max="15372" width="11.375" style="67" customWidth="1"/>
    <col min="15373" max="15376" width="12.875" style="67" customWidth="1"/>
    <col min="15377" max="15377" width="13.125" style="67" customWidth="1"/>
    <col min="15378" max="15378" width="12.875" style="67" customWidth="1"/>
    <col min="15379" max="15379" width="13.125" style="67" customWidth="1"/>
    <col min="15380" max="15387" width="9.625" style="67"/>
    <col min="15388" max="15388" width="12.625" style="67" customWidth="1"/>
    <col min="15389" max="15621" width="9.625" style="67"/>
    <col min="15622" max="15622" width="32.875" style="67" customWidth="1"/>
    <col min="15623" max="15623" width="6.875" style="67" customWidth="1"/>
    <col min="15624" max="15624" width="11.125" style="67" customWidth="1"/>
    <col min="15625" max="15625" width="12.375" style="67" customWidth="1"/>
    <col min="15626" max="15626" width="13.125" style="67" customWidth="1"/>
    <col min="15627" max="15627" width="12.125" style="67" customWidth="1"/>
    <col min="15628" max="15628" width="11.375" style="67" customWidth="1"/>
    <col min="15629" max="15632" width="12.875" style="67" customWidth="1"/>
    <col min="15633" max="15633" width="13.125" style="67" customWidth="1"/>
    <col min="15634" max="15634" width="12.875" style="67" customWidth="1"/>
    <col min="15635" max="15635" width="13.125" style="67" customWidth="1"/>
    <col min="15636" max="15643" width="9.625" style="67"/>
    <col min="15644" max="15644" width="12.625" style="67" customWidth="1"/>
    <col min="15645" max="15877" width="9.625" style="67"/>
    <col min="15878" max="15878" width="32.875" style="67" customWidth="1"/>
    <col min="15879" max="15879" width="6.875" style="67" customWidth="1"/>
    <col min="15880" max="15880" width="11.125" style="67" customWidth="1"/>
    <col min="15881" max="15881" width="12.375" style="67" customWidth="1"/>
    <col min="15882" max="15882" width="13.125" style="67" customWidth="1"/>
    <col min="15883" max="15883" width="12.125" style="67" customWidth="1"/>
    <col min="15884" max="15884" width="11.375" style="67" customWidth="1"/>
    <col min="15885" max="15888" width="12.875" style="67" customWidth="1"/>
    <col min="15889" max="15889" width="13.125" style="67" customWidth="1"/>
    <col min="15890" max="15890" width="12.875" style="67" customWidth="1"/>
    <col min="15891" max="15891" width="13.125" style="67" customWidth="1"/>
    <col min="15892" max="15899" width="9.625" style="67"/>
    <col min="15900" max="15900" width="12.625" style="67" customWidth="1"/>
    <col min="15901" max="16133" width="9.625" style="67"/>
    <col min="16134" max="16134" width="32.875" style="67" customWidth="1"/>
    <col min="16135" max="16135" width="6.875" style="67" customWidth="1"/>
    <col min="16136" max="16136" width="11.125" style="67" customWidth="1"/>
    <col min="16137" max="16137" width="12.375" style="67" customWidth="1"/>
    <col min="16138" max="16138" width="13.125" style="67" customWidth="1"/>
    <col min="16139" max="16139" width="12.125" style="67" customWidth="1"/>
    <col min="16140" max="16140" width="11.375" style="67" customWidth="1"/>
    <col min="16141" max="16144" width="12.875" style="67" customWidth="1"/>
    <col min="16145" max="16145" width="13.125" style="67" customWidth="1"/>
    <col min="16146" max="16146" width="12.875" style="67" customWidth="1"/>
    <col min="16147" max="16147" width="13.125" style="67" customWidth="1"/>
    <col min="16148" max="16155" width="9.625" style="67"/>
    <col min="16156" max="16156" width="12.625" style="67" customWidth="1"/>
    <col min="16157" max="16384" width="9.625" style="67"/>
  </cols>
  <sheetData>
    <row r="1" spans="1:98" ht="13.5" customHeight="1" x14ac:dyDescent="0.2">
      <c r="A1" s="428" t="s">
        <v>441</v>
      </c>
      <c r="B1" s="213"/>
      <c r="C1" s="213"/>
      <c r="D1" s="213"/>
      <c r="E1" s="213"/>
      <c r="F1" s="213"/>
      <c r="G1" s="213"/>
      <c r="H1" s="213"/>
      <c r="I1" s="213"/>
      <c r="J1" s="429"/>
      <c r="K1" s="429"/>
      <c r="L1" s="429"/>
      <c r="M1" s="429"/>
      <c r="N1" s="429"/>
      <c r="O1" s="582"/>
      <c r="P1" s="429"/>
      <c r="Q1" s="634"/>
      <c r="R1" s="643"/>
      <c r="S1" s="163"/>
      <c r="T1" s="164"/>
      <c r="U1" s="163"/>
      <c r="V1" s="99"/>
      <c r="W1" s="99"/>
      <c r="X1" s="99"/>
      <c r="Y1" s="99"/>
      <c r="Z1" s="99"/>
      <c r="AA1" s="165"/>
      <c r="AB1" s="99"/>
      <c r="AC1" s="99"/>
    </row>
    <row r="2" spans="1:98" ht="13.5" customHeight="1" x14ac:dyDescent="0.2">
      <c r="A2" s="430"/>
      <c r="B2" s="66"/>
      <c r="C2" s="431"/>
      <c r="D2" s="431"/>
      <c r="E2" s="66"/>
      <c r="F2" s="66"/>
      <c r="G2" s="66"/>
      <c r="H2" s="66"/>
      <c r="I2" s="66"/>
      <c r="J2" s="424"/>
      <c r="K2" s="424"/>
      <c r="L2" s="424"/>
      <c r="M2" s="432"/>
      <c r="N2" s="424"/>
      <c r="O2" s="583"/>
      <c r="P2" s="424"/>
      <c r="Q2" s="635"/>
      <c r="R2" s="644"/>
      <c r="S2" s="163"/>
      <c r="T2" s="164"/>
      <c r="U2" s="163"/>
      <c r="V2" s="99"/>
      <c r="W2" s="99"/>
      <c r="X2" s="99"/>
      <c r="Y2" s="99"/>
      <c r="Z2" s="99"/>
      <c r="AA2" s="165"/>
      <c r="AB2" s="99"/>
      <c r="AC2" s="99"/>
    </row>
    <row r="3" spans="1:98" x14ac:dyDescent="0.2">
      <c r="A3" s="425" t="s">
        <v>80</v>
      </c>
      <c r="B3" s="121"/>
      <c r="C3" s="433" t="s">
        <v>27</v>
      </c>
      <c r="D3" s="433" t="s">
        <v>28</v>
      </c>
      <c r="E3" s="433" t="s">
        <v>29</v>
      </c>
      <c r="F3" s="433" t="s">
        <v>30</v>
      </c>
      <c r="G3" s="433" t="s">
        <v>31</v>
      </c>
      <c r="H3" s="433" t="s">
        <v>32</v>
      </c>
      <c r="I3" s="433" t="s">
        <v>248</v>
      </c>
      <c r="J3" s="433" t="s">
        <v>251</v>
      </c>
      <c r="K3" s="433" t="s">
        <v>262</v>
      </c>
      <c r="L3" s="433" t="s">
        <v>302</v>
      </c>
      <c r="M3" s="69" t="s">
        <v>350</v>
      </c>
      <c r="N3" s="434"/>
      <c r="O3" s="584" t="s">
        <v>350</v>
      </c>
      <c r="P3" s="434" t="s">
        <v>393</v>
      </c>
      <c r="Q3" s="636" t="s">
        <v>403</v>
      </c>
      <c r="R3" s="645"/>
      <c r="S3" s="118"/>
      <c r="T3" s="164"/>
      <c r="U3" s="166"/>
      <c r="V3" s="99"/>
      <c r="W3" s="99"/>
      <c r="X3" s="99"/>
      <c r="Y3" s="99"/>
      <c r="Z3" s="99"/>
      <c r="AA3" s="167"/>
      <c r="AB3" s="99"/>
      <c r="AC3" s="99"/>
    </row>
    <row r="4" spans="1:98" ht="15.75" customHeight="1" x14ac:dyDescent="0.2">
      <c r="A4" s="425" t="s">
        <v>81</v>
      </c>
      <c r="B4" s="121"/>
      <c r="C4" s="268" t="s">
        <v>82</v>
      </c>
      <c r="D4" s="268" t="s">
        <v>82</v>
      </c>
      <c r="E4" s="268" t="s">
        <v>82</v>
      </c>
      <c r="F4" s="268" t="s">
        <v>82</v>
      </c>
      <c r="G4" s="268" t="s">
        <v>82</v>
      </c>
      <c r="H4" s="268" t="s">
        <v>82</v>
      </c>
      <c r="I4" s="268" t="s">
        <v>82</v>
      </c>
      <c r="J4" s="268" t="s">
        <v>384</v>
      </c>
      <c r="K4" s="268" t="s">
        <v>384</v>
      </c>
      <c r="L4" s="268" t="s">
        <v>384</v>
      </c>
      <c r="M4" s="268" t="s">
        <v>384</v>
      </c>
      <c r="N4" s="427"/>
      <c r="O4" s="583" t="s">
        <v>386</v>
      </c>
      <c r="P4" s="427" t="s">
        <v>386</v>
      </c>
      <c r="Q4" s="204" t="s">
        <v>385</v>
      </c>
      <c r="R4" s="435"/>
      <c r="S4" s="168"/>
      <c r="T4" s="164"/>
      <c r="U4" s="169"/>
      <c r="V4" s="99"/>
      <c r="W4" s="99"/>
      <c r="X4" s="99"/>
      <c r="Y4" s="99"/>
      <c r="Z4" s="99"/>
      <c r="AA4" s="167"/>
      <c r="AB4" s="99"/>
      <c r="AC4" s="99"/>
    </row>
    <row r="5" spans="1:98" ht="11.25" customHeight="1" x14ac:dyDescent="0.2">
      <c r="A5" s="436" t="s">
        <v>83</v>
      </c>
      <c r="B5" s="94"/>
      <c r="C5" s="291" t="s">
        <v>103</v>
      </c>
      <c r="D5" s="291" t="s">
        <v>103</v>
      </c>
      <c r="E5" s="291" t="s">
        <v>103</v>
      </c>
      <c r="F5" s="291" t="s">
        <v>103</v>
      </c>
      <c r="G5" s="291" t="s">
        <v>103</v>
      </c>
      <c r="H5" s="291" t="s">
        <v>103</v>
      </c>
      <c r="I5" s="291" t="s">
        <v>103</v>
      </c>
      <c r="J5" s="291" t="s">
        <v>103</v>
      </c>
      <c r="K5" s="291" t="s">
        <v>103</v>
      </c>
      <c r="L5" s="291" t="s">
        <v>103</v>
      </c>
      <c r="M5" s="291" t="s">
        <v>103</v>
      </c>
      <c r="N5" s="83"/>
      <c r="O5" s="585" t="s">
        <v>488</v>
      </c>
      <c r="P5" s="156" t="s">
        <v>487</v>
      </c>
      <c r="Q5" s="156" t="s">
        <v>367</v>
      </c>
      <c r="R5" s="437" t="s">
        <v>21</v>
      </c>
      <c r="S5" s="170"/>
      <c r="T5" s="164"/>
      <c r="U5" s="166"/>
      <c r="V5" s="99"/>
      <c r="W5" s="99"/>
      <c r="X5" s="99"/>
      <c r="Y5" s="99"/>
      <c r="Z5" s="99"/>
      <c r="AA5" s="167"/>
      <c r="AB5" s="99"/>
      <c r="AC5" s="167"/>
      <c r="AD5" s="70"/>
    </row>
    <row r="6" spans="1:98" ht="13.15" customHeight="1" x14ac:dyDescent="0.2">
      <c r="A6" s="438"/>
      <c r="B6" s="292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205"/>
      <c r="N6" s="293"/>
      <c r="O6" s="586"/>
      <c r="P6" s="205"/>
      <c r="Q6" s="637"/>
      <c r="R6" s="646"/>
      <c r="S6" s="193"/>
      <c r="U6" s="193"/>
      <c r="AA6" s="70"/>
      <c r="AC6" s="70"/>
      <c r="AD6" s="70"/>
    </row>
    <row r="7" spans="1:98" ht="11.45" customHeight="1" x14ac:dyDescent="0.2">
      <c r="A7" s="215" t="s">
        <v>1</v>
      </c>
      <c r="B7" s="294"/>
      <c r="C7" s="390"/>
      <c r="D7" s="439"/>
      <c r="E7" s="440"/>
      <c r="F7" s="390"/>
      <c r="G7" s="390"/>
      <c r="H7" s="390" t="s">
        <v>85</v>
      </c>
      <c r="I7" s="441"/>
      <c r="J7" s="441"/>
      <c r="K7" s="441"/>
      <c r="L7" s="441"/>
      <c r="M7" s="194"/>
      <c r="N7" s="442"/>
      <c r="O7" s="587"/>
      <c r="P7" s="194"/>
      <c r="Q7" s="638"/>
      <c r="R7" s="647"/>
      <c r="S7" s="194"/>
      <c r="U7" s="194"/>
      <c r="V7" s="127"/>
      <c r="W7" s="127"/>
      <c r="X7" s="127"/>
      <c r="Y7" s="127"/>
      <c r="Z7" s="127"/>
      <c r="AA7" s="127"/>
      <c r="AB7" s="127"/>
      <c r="AC7" s="127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1"/>
      <c r="AP7" s="127"/>
      <c r="AQ7" s="127"/>
      <c r="AR7" s="127"/>
      <c r="AS7" s="152"/>
      <c r="AT7" s="152"/>
      <c r="AU7" s="152"/>
      <c r="AV7" s="153"/>
      <c r="AW7" s="130"/>
      <c r="AX7" s="128"/>
      <c r="AY7" s="127"/>
      <c r="AZ7" s="130"/>
      <c r="BA7" s="129"/>
      <c r="BB7" s="149"/>
      <c r="BC7" s="149"/>
      <c r="BD7" s="149"/>
      <c r="BE7" s="149"/>
      <c r="BF7" s="149"/>
      <c r="BG7" s="149"/>
      <c r="BH7" s="149"/>
      <c r="BI7" s="131"/>
      <c r="BJ7" s="131"/>
      <c r="BK7" s="126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30"/>
      <c r="BY7" s="127"/>
      <c r="BZ7" s="127"/>
      <c r="CA7" s="127"/>
      <c r="CB7" s="127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</row>
    <row r="8" spans="1:98" ht="10.15" customHeight="1" x14ac:dyDescent="0.2">
      <c r="A8" s="215"/>
      <c r="B8" s="294"/>
      <c r="C8" s="439"/>
      <c r="D8" s="439"/>
      <c r="E8" s="439"/>
      <c r="F8" s="439"/>
      <c r="G8" s="439"/>
      <c r="H8" s="439"/>
      <c r="I8" s="439"/>
      <c r="J8" s="439"/>
      <c r="K8" s="439"/>
      <c r="L8" s="439"/>
      <c r="N8" s="295"/>
      <c r="O8" s="588"/>
      <c r="Q8" s="639"/>
      <c r="R8" s="644"/>
      <c r="AA8" s="68"/>
    </row>
    <row r="9" spans="1:98" x14ac:dyDescent="0.2">
      <c r="A9" s="443" t="s">
        <v>434</v>
      </c>
      <c r="B9" s="294"/>
      <c r="C9" s="609">
        <v>41.7</v>
      </c>
      <c r="D9" s="609">
        <v>38.1</v>
      </c>
      <c r="E9" s="609">
        <v>30.200000000000003</v>
      </c>
      <c r="F9" s="609">
        <f t="shared" ref="F9:K9" si="0">F10+F11+F12</f>
        <v>22.200000000000003</v>
      </c>
      <c r="G9" s="609">
        <f t="shared" si="0"/>
        <v>14</v>
      </c>
      <c r="H9" s="609">
        <f t="shared" si="0"/>
        <v>27.8</v>
      </c>
      <c r="I9" s="609">
        <f t="shared" si="0"/>
        <v>39.6</v>
      </c>
      <c r="J9" s="609">
        <f t="shared" si="0"/>
        <v>35.299999999999997</v>
      </c>
      <c r="K9" s="609">
        <f t="shared" si="0"/>
        <v>26.900000000000002</v>
      </c>
      <c r="L9" s="609">
        <f t="shared" ref="L9" si="1">L10+L11+L12</f>
        <v>37.199999999999996</v>
      </c>
      <c r="M9" s="610">
        <f>M10+M11+M12</f>
        <v>31.2</v>
      </c>
      <c r="N9" s="611"/>
      <c r="O9" s="612">
        <f>O10+O11+O12</f>
        <v>30.400000000000002</v>
      </c>
      <c r="P9" s="612">
        <f>P10+P11+P12</f>
        <v>21.5</v>
      </c>
      <c r="Q9" s="641">
        <f>P9-O9</f>
        <v>-8.9000000000000021</v>
      </c>
      <c r="R9" s="648">
        <f>Q9/O9*100</f>
        <v>-29.276315789473689</v>
      </c>
      <c r="S9" s="195"/>
      <c r="U9" s="196"/>
      <c r="AA9" s="68"/>
    </row>
    <row r="10" spans="1:98" x14ac:dyDescent="0.2">
      <c r="A10" s="444" t="s">
        <v>104</v>
      </c>
      <c r="B10" s="294"/>
      <c r="C10" s="613">
        <v>37.700000000000003</v>
      </c>
      <c r="D10" s="613">
        <v>30.6</v>
      </c>
      <c r="E10" s="613">
        <v>26.8</v>
      </c>
      <c r="F10" s="613">
        <v>18.600000000000001</v>
      </c>
      <c r="G10" s="613">
        <v>11</v>
      </c>
      <c r="H10" s="613">
        <v>24.8</v>
      </c>
      <c r="I10" s="613">
        <v>36.299999999999997</v>
      </c>
      <c r="J10" s="613">
        <v>31.9</v>
      </c>
      <c r="K10" s="613">
        <v>23.8</v>
      </c>
      <c r="L10" s="613">
        <v>36.299999999999997</v>
      </c>
      <c r="M10" s="614">
        <v>30.9</v>
      </c>
      <c r="N10" s="615"/>
      <c r="O10" s="616">
        <f>7.4+22.8</f>
        <v>30.200000000000003</v>
      </c>
      <c r="P10" s="616">
        <f>0.8+17</f>
        <v>17.8</v>
      </c>
      <c r="Q10" s="641">
        <f>P10-O10</f>
        <v>-12.400000000000002</v>
      </c>
      <c r="R10" s="648">
        <f t="shared" ref="R10:R69" si="2">Q10/O10*100</f>
        <v>-41.059602649006628</v>
      </c>
      <c r="S10" s="197"/>
      <c r="U10" s="197"/>
      <c r="AA10" s="68"/>
    </row>
    <row r="11" spans="1:98" x14ac:dyDescent="0.2">
      <c r="A11" s="444" t="s">
        <v>481</v>
      </c>
      <c r="B11" s="294"/>
      <c r="C11" s="613">
        <v>1.1000000000000001</v>
      </c>
      <c r="D11" s="613">
        <v>2.9</v>
      </c>
      <c r="E11" s="613">
        <v>2.2999999999999998</v>
      </c>
      <c r="F11" s="613">
        <v>2.5</v>
      </c>
      <c r="G11" s="613">
        <v>2</v>
      </c>
      <c r="H11" s="613">
        <v>2.1</v>
      </c>
      <c r="I11" s="613">
        <v>1.7</v>
      </c>
      <c r="J11" s="613">
        <v>2</v>
      </c>
      <c r="K11" s="613">
        <v>1.5</v>
      </c>
      <c r="L11" s="613">
        <v>0.4</v>
      </c>
      <c r="M11" s="614">
        <v>0.3</v>
      </c>
      <c r="N11" s="615"/>
      <c r="O11" s="613">
        <f>0+0.2</f>
        <v>0.2</v>
      </c>
      <c r="P11" s="613">
        <f>0.5+3</f>
        <v>3.5</v>
      </c>
      <c r="Q11" s="641">
        <f>P11-O11</f>
        <v>3.3</v>
      </c>
      <c r="R11" s="648">
        <f t="shared" si="2"/>
        <v>1649.9999999999995</v>
      </c>
      <c r="S11" s="197"/>
      <c r="U11" s="197"/>
      <c r="AA11" s="68"/>
    </row>
    <row r="12" spans="1:98" x14ac:dyDescent="0.2">
      <c r="A12" s="444" t="s">
        <v>435</v>
      </c>
      <c r="B12" s="294"/>
      <c r="C12" s="613">
        <v>2.9000000000000004</v>
      </c>
      <c r="D12" s="613">
        <v>4.5999999999999996</v>
      </c>
      <c r="E12" s="613">
        <v>1.1000000000000001</v>
      </c>
      <c r="F12" s="613">
        <v>1.1000000000000001</v>
      </c>
      <c r="G12" s="613">
        <v>1</v>
      </c>
      <c r="H12" s="613">
        <v>0.9</v>
      </c>
      <c r="I12" s="613">
        <v>1.6</v>
      </c>
      <c r="J12" s="613">
        <v>1.4</v>
      </c>
      <c r="K12" s="613">
        <v>1.6</v>
      </c>
      <c r="L12" s="613">
        <v>0.5</v>
      </c>
      <c r="M12" s="614">
        <v>0</v>
      </c>
      <c r="N12" s="615"/>
      <c r="O12" s="613">
        <f>0</f>
        <v>0</v>
      </c>
      <c r="P12" s="613">
        <f>0.2</f>
        <v>0.2</v>
      </c>
      <c r="Q12" s="641">
        <f>P12-O12</f>
        <v>0.2</v>
      </c>
      <c r="R12" s="649" t="s">
        <v>306</v>
      </c>
      <c r="S12" s="197"/>
      <c r="U12" s="197"/>
      <c r="AA12" s="68"/>
    </row>
    <row r="13" spans="1:98" ht="6.75" customHeight="1" x14ac:dyDescent="0.2">
      <c r="A13" s="445"/>
      <c r="B13" s="294"/>
      <c r="C13" s="613"/>
      <c r="D13" s="613"/>
      <c r="E13" s="613"/>
      <c r="F13" s="613"/>
      <c r="G13" s="613"/>
      <c r="H13" s="613"/>
      <c r="I13" s="613"/>
      <c r="J13" s="613"/>
      <c r="K13" s="613"/>
      <c r="L13" s="613"/>
      <c r="M13" s="614"/>
      <c r="N13" s="615"/>
      <c r="O13" s="613"/>
      <c r="P13" s="613"/>
      <c r="Q13" s="641"/>
      <c r="R13" s="648"/>
      <c r="S13" s="197"/>
      <c r="U13" s="197"/>
      <c r="AA13" s="68"/>
    </row>
    <row r="14" spans="1:98" x14ac:dyDescent="0.2">
      <c r="A14" s="443" t="s">
        <v>105</v>
      </c>
      <c r="B14" s="294"/>
      <c r="C14" s="609">
        <f t="shared" ref="C14:J14" si="3">C15+C16+C17+C18</f>
        <v>561.4</v>
      </c>
      <c r="D14" s="609">
        <f t="shared" si="3"/>
        <v>474.6</v>
      </c>
      <c r="E14" s="609">
        <f t="shared" si="3"/>
        <v>464.1</v>
      </c>
      <c r="F14" s="609">
        <f t="shared" si="3"/>
        <v>608.30000000000007</v>
      </c>
      <c r="G14" s="609">
        <f t="shared" si="3"/>
        <v>690.3</v>
      </c>
      <c r="H14" s="609">
        <f t="shared" si="3"/>
        <v>451.40000000000003</v>
      </c>
      <c r="I14" s="609">
        <f t="shared" si="3"/>
        <v>531.6</v>
      </c>
      <c r="J14" s="609">
        <f t="shared" si="3"/>
        <v>559.6</v>
      </c>
      <c r="K14" s="609">
        <f>K15+K16+K17+K18</f>
        <v>541.1</v>
      </c>
      <c r="L14" s="609">
        <f>L15+L16+L17+L18</f>
        <v>415.80000000000007</v>
      </c>
      <c r="M14" s="610">
        <f>M15+M16+M17+M18</f>
        <v>235.8</v>
      </c>
      <c r="N14" s="611"/>
      <c r="O14" s="609">
        <f>O15+O16+O17+O18</f>
        <v>247.79999999999995</v>
      </c>
      <c r="P14" s="609">
        <f>P15+P16+P17+P18</f>
        <v>464.59999999999997</v>
      </c>
      <c r="Q14" s="641">
        <f>P14-O14</f>
        <v>216.8</v>
      </c>
      <c r="R14" s="648">
        <f t="shared" si="2"/>
        <v>87.489911218724799</v>
      </c>
      <c r="S14" s="195"/>
      <c r="U14" s="196"/>
      <c r="AA14" s="68"/>
    </row>
    <row r="15" spans="1:98" x14ac:dyDescent="0.2">
      <c r="A15" s="445" t="s">
        <v>106</v>
      </c>
      <c r="B15" s="294"/>
      <c r="C15" s="609">
        <v>6.2</v>
      </c>
      <c r="D15" s="609">
        <v>6.2</v>
      </c>
      <c r="E15" s="609">
        <v>0.3</v>
      </c>
      <c r="F15" s="609">
        <v>1.1000000000000001</v>
      </c>
      <c r="G15" s="609">
        <v>13.2</v>
      </c>
      <c r="H15" s="609">
        <v>9.6</v>
      </c>
      <c r="I15" s="609">
        <v>6.8</v>
      </c>
      <c r="J15" s="609">
        <v>7.4</v>
      </c>
      <c r="K15" s="609">
        <v>5.5</v>
      </c>
      <c r="L15" s="609">
        <v>4.3</v>
      </c>
      <c r="M15" s="610">
        <v>0.3</v>
      </c>
      <c r="N15" s="611"/>
      <c r="O15" s="613">
        <f>0.4+0.2</f>
        <v>0.60000000000000009</v>
      </c>
      <c r="P15" s="609">
        <f>0.5+0.7</f>
        <v>1.2</v>
      </c>
      <c r="Q15" s="641">
        <f>P15-O15</f>
        <v>0.59999999999999987</v>
      </c>
      <c r="R15" s="648">
        <f t="shared" si="2"/>
        <v>99.999999999999972</v>
      </c>
      <c r="S15" s="196"/>
      <c r="U15" s="196"/>
      <c r="AA15" s="68"/>
    </row>
    <row r="16" spans="1:98" x14ac:dyDescent="0.2">
      <c r="A16" s="444" t="s">
        <v>107</v>
      </c>
      <c r="B16" s="294"/>
      <c r="C16" s="609">
        <v>347.6</v>
      </c>
      <c r="D16" s="609">
        <v>364.2</v>
      </c>
      <c r="E16" s="609">
        <v>307.7</v>
      </c>
      <c r="F16" s="609">
        <v>429.6</v>
      </c>
      <c r="G16" s="609">
        <v>428.8</v>
      </c>
      <c r="H16" s="609">
        <v>322.5</v>
      </c>
      <c r="I16" s="609">
        <v>336.5</v>
      </c>
      <c r="J16" s="609">
        <v>422.6</v>
      </c>
      <c r="K16" s="609">
        <v>339.9</v>
      </c>
      <c r="L16" s="609">
        <v>327.10000000000002</v>
      </c>
      <c r="M16" s="610">
        <v>170.3</v>
      </c>
      <c r="N16" s="611"/>
      <c r="O16" s="613">
        <f>39.7+130.7</f>
        <v>170.39999999999998</v>
      </c>
      <c r="P16" s="609">
        <f>78.7+221.2</f>
        <v>299.89999999999998</v>
      </c>
      <c r="Q16" s="641">
        <f>P16-O16</f>
        <v>129.5</v>
      </c>
      <c r="R16" s="648">
        <f t="shared" si="2"/>
        <v>75.997652582159631</v>
      </c>
      <c r="S16" s="196"/>
      <c r="U16" s="196"/>
      <c r="AA16" s="68"/>
    </row>
    <row r="17" spans="1:27" x14ac:dyDescent="0.2">
      <c r="A17" s="444" t="s">
        <v>108</v>
      </c>
      <c r="B17" s="294"/>
      <c r="C17" s="609">
        <v>145.1</v>
      </c>
      <c r="D17" s="609">
        <v>72.099999999999994</v>
      </c>
      <c r="E17" s="609">
        <v>123.5</v>
      </c>
      <c r="F17" s="609">
        <v>132.6</v>
      </c>
      <c r="G17" s="609">
        <v>220.8</v>
      </c>
      <c r="H17" s="609">
        <v>88.3</v>
      </c>
      <c r="I17" s="609">
        <v>166.3</v>
      </c>
      <c r="J17" s="609">
        <v>118.5</v>
      </c>
      <c r="K17" s="609">
        <v>180.8</v>
      </c>
      <c r="L17" s="609">
        <v>72.8</v>
      </c>
      <c r="M17" s="610">
        <v>58.7</v>
      </c>
      <c r="N17" s="611"/>
      <c r="O17" s="613">
        <f>28.2+42.1</f>
        <v>70.3</v>
      </c>
      <c r="P17" s="609">
        <f>75.5+78.3</f>
        <v>153.80000000000001</v>
      </c>
      <c r="Q17" s="641">
        <f>P17-O17</f>
        <v>83.500000000000014</v>
      </c>
      <c r="R17" s="648">
        <f t="shared" si="2"/>
        <v>118.77667140825039</v>
      </c>
      <c r="S17" s="196"/>
      <c r="U17" s="196"/>
      <c r="AA17" s="68"/>
    </row>
    <row r="18" spans="1:27" x14ac:dyDescent="0.2">
      <c r="A18" s="444" t="s">
        <v>109</v>
      </c>
      <c r="B18" s="294"/>
      <c r="C18" s="609">
        <v>62.5</v>
      </c>
      <c r="D18" s="609">
        <v>32.1</v>
      </c>
      <c r="E18" s="609">
        <v>32.6</v>
      </c>
      <c r="F18" s="609">
        <v>45</v>
      </c>
      <c r="G18" s="609">
        <v>27.5</v>
      </c>
      <c r="H18" s="609">
        <v>31</v>
      </c>
      <c r="I18" s="609">
        <v>22</v>
      </c>
      <c r="J18" s="609">
        <v>11.1</v>
      </c>
      <c r="K18" s="609">
        <v>14.9</v>
      </c>
      <c r="L18" s="609">
        <v>11.6</v>
      </c>
      <c r="M18" s="610">
        <v>6.5</v>
      </c>
      <c r="N18" s="611"/>
      <c r="O18" s="613">
        <v>6.5</v>
      </c>
      <c r="P18" s="609">
        <f>0.2+9.5</f>
        <v>9.6999999999999993</v>
      </c>
      <c r="Q18" s="641">
        <f>P18-O18</f>
        <v>3.1999999999999993</v>
      </c>
      <c r="R18" s="648">
        <f t="shared" si="2"/>
        <v>49.230769230769219</v>
      </c>
      <c r="S18" s="196"/>
      <c r="U18" s="196"/>
      <c r="AA18" s="68"/>
    </row>
    <row r="19" spans="1:27" ht="6.75" customHeight="1" x14ac:dyDescent="0.2">
      <c r="A19" s="445" t="s">
        <v>60</v>
      </c>
      <c r="B19" s="294"/>
      <c r="C19" s="613"/>
      <c r="D19" s="613"/>
      <c r="E19" s="613"/>
      <c r="F19" s="613"/>
      <c r="G19" s="613"/>
      <c r="H19" s="613"/>
      <c r="I19" s="613"/>
      <c r="J19" s="613"/>
      <c r="K19" s="613"/>
      <c r="L19" s="613"/>
      <c r="M19" s="614"/>
      <c r="N19" s="615"/>
      <c r="O19" s="613"/>
      <c r="P19" s="613"/>
      <c r="Q19" s="641"/>
      <c r="R19" s="648"/>
      <c r="S19" s="197"/>
      <c r="U19" s="197"/>
      <c r="AA19" s="68"/>
    </row>
    <row r="20" spans="1:27" ht="12" customHeight="1" x14ac:dyDescent="0.2">
      <c r="A20" s="446" t="s">
        <v>325</v>
      </c>
      <c r="B20" s="294"/>
      <c r="C20" s="609">
        <f>463.6</f>
        <v>463.6</v>
      </c>
      <c r="D20" s="609">
        <v>605.80000000000007</v>
      </c>
      <c r="E20" s="609">
        <v>468.70000000000005</v>
      </c>
      <c r="F20" s="609">
        <v>487.19999999999993</v>
      </c>
      <c r="G20" s="609">
        <f>572.4-G15+G32-G17</f>
        <v>468.39999999999992</v>
      </c>
      <c r="H20" s="609">
        <f>378.3-H15+H32-H17</f>
        <v>281</v>
      </c>
      <c r="I20" s="609">
        <f>549.4-I15+I32-I17</f>
        <v>378.40000000000003</v>
      </c>
      <c r="J20" s="609">
        <f>514.2-J15+J32-J17</f>
        <v>416.6</v>
      </c>
      <c r="K20" s="609">
        <f>414.9-K15+K32-K17</f>
        <v>229.29999999999995</v>
      </c>
      <c r="L20" s="609">
        <f>309.9-L15+L32-L17</f>
        <v>232.79999999999995</v>
      </c>
      <c r="M20" s="610">
        <f>379.8+M32-M17-M15</f>
        <v>320.8</v>
      </c>
      <c r="N20" s="611"/>
      <c r="O20" s="609">
        <f>97.5+305.4+O32-O17-O15</f>
        <v>331.99999999999994</v>
      </c>
      <c r="P20" s="609">
        <f>100.4+361.8+P32-P17-P15</f>
        <v>307.80000000000007</v>
      </c>
      <c r="Q20" s="641">
        <f t="shared" ref="Q20:Q33" si="4">P20-O20</f>
        <v>-24.199999999999875</v>
      </c>
      <c r="R20" s="648">
        <f t="shared" si="2"/>
        <v>-7.2891566265059886</v>
      </c>
      <c r="S20" s="195"/>
      <c r="U20" s="196"/>
      <c r="AA20" s="68"/>
    </row>
    <row r="21" spans="1:27" ht="12" customHeight="1" x14ac:dyDescent="0.2">
      <c r="A21" s="445" t="s">
        <v>110</v>
      </c>
      <c r="B21" s="294"/>
      <c r="C21" s="613">
        <v>9.1</v>
      </c>
      <c r="D21" s="613">
        <v>10.4</v>
      </c>
      <c r="E21" s="613">
        <v>6.5</v>
      </c>
      <c r="F21" s="613">
        <v>5.5</v>
      </c>
      <c r="G21" s="613">
        <v>5.4</v>
      </c>
      <c r="H21" s="613">
        <v>5</v>
      </c>
      <c r="I21" s="613">
        <v>2.9</v>
      </c>
      <c r="J21" s="613">
        <v>2.6</v>
      </c>
      <c r="K21" s="613">
        <v>4.0999999999999996</v>
      </c>
      <c r="L21" s="613">
        <v>1.8</v>
      </c>
      <c r="M21" s="614">
        <v>1</v>
      </c>
      <c r="N21" s="615"/>
      <c r="O21" s="613">
        <f>0+1</f>
        <v>1</v>
      </c>
      <c r="P21" s="613">
        <f>0+0.5</f>
        <v>0.5</v>
      </c>
      <c r="Q21" s="641">
        <f t="shared" si="4"/>
        <v>-0.5</v>
      </c>
      <c r="R21" s="648">
        <f t="shared" si="2"/>
        <v>-50</v>
      </c>
      <c r="S21" s="197"/>
      <c r="U21" s="197"/>
      <c r="AA21" s="68"/>
    </row>
    <row r="22" spans="1:27" ht="12" customHeight="1" x14ac:dyDescent="0.2">
      <c r="A22" s="445" t="s">
        <v>111</v>
      </c>
      <c r="B22" s="294"/>
      <c r="C22" s="613">
        <v>125.7</v>
      </c>
      <c r="D22" s="613">
        <v>0</v>
      </c>
      <c r="E22" s="613">
        <v>0</v>
      </c>
      <c r="F22" s="613">
        <v>61.4</v>
      </c>
      <c r="G22" s="613">
        <v>0</v>
      </c>
      <c r="H22" s="613">
        <v>0</v>
      </c>
      <c r="I22" s="613">
        <v>0</v>
      </c>
      <c r="J22" s="613">
        <v>0</v>
      </c>
      <c r="K22" s="613">
        <v>0</v>
      </c>
      <c r="L22" s="613">
        <v>0</v>
      </c>
      <c r="M22" s="614">
        <v>0</v>
      </c>
      <c r="N22" s="615"/>
      <c r="O22" s="614">
        <v>0</v>
      </c>
      <c r="P22" s="614">
        <v>0</v>
      </c>
      <c r="Q22" s="641">
        <f t="shared" si="4"/>
        <v>0</v>
      </c>
      <c r="R22" s="649" t="s">
        <v>306</v>
      </c>
      <c r="S22" s="197"/>
      <c r="U22" s="197"/>
      <c r="AA22" s="68"/>
    </row>
    <row r="23" spans="1:27" ht="12" customHeight="1" x14ac:dyDescent="0.2">
      <c r="A23" s="445" t="s">
        <v>112</v>
      </c>
      <c r="B23" s="294"/>
      <c r="C23" s="613">
        <v>0</v>
      </c>
      <c r="D23" s="613">
        <v>132.5</v>
      </c>
      <c r="E23" s="613">
        <v>123.5</v>
      </c>
      <c r="F23" s="613">
        <v>155.4</v>
      </c>
      <c r="G23" s="613">
        <v>31.6</v>
      </c>
      <c r="H23" s="613">
        <v>96.4</v>
      </c>
      <c r="I23" s="613">
        <v>155.5</v>
      </c>
      <c r="J23" s="613">
        <v>154.5</v>
      </c>
      <c r="K23" s="613">
        <v>0</v>
      </c>
      <c r="L23" s="613">
        <v>120</v>
      </c>
      <c r="M23" s="614">
        <v>220</v>
      </c>
      <c r="N23" s="615"/>
      <c r="O23" s="613">
        <f>40+176</f>
        <v>216</v>
      </c>
      <c r="P23" s="613">
        <f>0+174.6</f>
        <v>174.6</v>
      </c>
      <c r="Q23" s="641">
        <f t="shared" si="4"/>
        <v>-41.400000000000006</v>
      </c>
      <c r="R23" s="648">
        <f t="shared" si="2"/>
        <v>-19.166666666666668</v>
      </c>
      <c r="S23" s="197"/>
      <c r="U23" s="197"/>
      <c r="AA23" s="68"/>
    </row>
    <row r="24" spans="1:27" ht="12" customHeight="1" x14ac:dyDescent="0.2">
      <c r="A24" s="445" t="s">
        <v>113</v>
      </c>
      <c r="B24" s="294"/>
      <c r="C24" s="609">
        <v>16.899999999999999</v>
      </c>
      <c r="D24" s="609">
        <v>19.2</v>
      </c>
      <c r="E24" s="609">
        <v>9.3000000000000007</v>
      </c>
      <c r="F24" s="609">
        <v>13.7</v>
      </c>
      <c r="G24" s="609">
        <v>15.2</v>
      </c>
      <c r="H24" s="609">
        <v>7.4</v>
      </c>
      <c r="I24" s="609">
        <v>14.7</v>
      </c>
      <c r="J24" s="609">
        <v>26.5</v>
      </c>
      <c r="K24" s="609">
        <v>26.1</v>
      </c>
      <c r="L24" s="609">
        <v>3.1</v>
      </c>
      <c r="M24" s="610">
        <v>0.4</v>
      </c>
      <c r="N24" s="611"/>
      <c r="O24" s="613">
        <f>0+0.4</f>
        <v>0.4</v>
      </c>
      <c r="P24" s="609">
        <f>4.1+10.3</f>
        <v>14.4</v>
      </c>
      <c r="Q24" s="641">
        <f t="shared" si="4"/>
        <v>14</v>
      </c>
      <c r="R24" s="648">
        <f t="shared" si="2"/>
        <v>3500</v>
      </c>
      <c r="S24" s="196"/>
      <c r="U24" s="196"/>
      <c r="AA24" s="68"/>
    </row>
    <row r="25" spans="1:27" ht="12" customHeight="1" x14ac:dyDescent="0.2">
      <c r="A25" s="445" t="s">
        <v>114</v>
      </c>
      <c r="B25" s="294"/>
      <c r="C25" s="609">
        <v>71.2</v>
      </c>
      <c r="D25" s="609">
        <v>88.7</v>
      </c>
      <c r="E25" s="609">
        <v>71.900000000000006</v>
      </c>
      <c r="F25" s="609">
        <v>82.2</v>
      </c>
      <c r="G25" s="609">
        <v>98.5</v>
      </c>
      <c r="H25" s="609">
        <v>61.1</v>
      </c>
      <c r="I25" s="609">
        <v>62.9</v>
      </c>
      <c r="J25" s="609">
        <v>57</v>
      </c>
      <c r="K25" s="609">
        <v>66.400000000000006</v>
      </c>
      <c r="L25" s="609">
        <v>38.6</v>
      </c>
      <c r="M25" s="610">
        <v>17.3</v>
      </c>
      <c r="N25" s="611"/>
      <c r="O25" s="613">
        <f>18.2+17</f>
        <v>35.200000000000003</v>
      </c>
      <c r="P25" s="609">
        <f>8.6+33.7</f>
        <v>42.300000000000004</v>
      </c>
      <c r="Q25" s="641">
        <f t="shared" si="4"/>
        <v>7.1000000000000014</v>
      </c>
      <c r="R25" s="648">
        <f t="shared" si="2"/>
        <v>20.170454545454547</v>
      </c>
      <c r="S25" s="196"/>
      <c r="U25" s="196"/>
      <c r="AA25" s="68"/>
    </row>
    <row r="26" spans="1:27" ht="12" customHeight="1" x14ac:dyDescent="0.2">
      <c r="A26" s="445" t="s">
        <v>115</v>
      </c>
      <c r="B26" s="294"/>
      <c r="C26" s="613">
        <v>5.5</v>
      </c>
      <c r="D26" s="613">
        <v>2</v>
      </c>
      <c r="E26" s="613">
        <v>2</v>
      </c>
      <c r="F26" s="613">
        <v>1.1000000000000001</v>
      </c>
      <c r="G26" s="613">
        <v>1.7</v>
      </c>
      <c r="H26" s="613">
        <v>0.4</v>
      </c>
      <c r="I26" s="613">
        <v>0.3</v>
      </c>
      <c r="J26" s="613">
        <v>0.5</v>
      </c>
      <c r="K26" s="613">
        <v>0.7</v>
      </c>
      <c r="L26" s="613">
        <v>0.8</v>
      </c>
      <c r="M26" s="614">
        <v>0.4</v>
      </c>
      <c r="N26" s="615"/>
      <c r="O26" s="613">
        <v>0.1</v>
      </c>
      <c r="P26" s="613">
        <v>0.3</v>
      </c>
      <c r="Q26" s="641">
        <f t="shared" si="4"/>
        <v>0.19999999999999998</v>
      </c>
      <c r="R26" s="648">
        <f t="shared" si="2"/>
        <v>199.99999999999997</v>
      </c>
      <c r="S26" s="197"/>
      <c r="U26" s="197"/>
      <c r="AA26" s="68"/>
    </row>
    <row r="27" spans="1:27" ht="12" customHeight="1" x14ac:dyDescent="0.2">
      <c r="A27" s="445" t="s">
        <v>116</v>
      </c>
      <c r="B27" s="294"/>
      <c r="C27" s="613">
        <v>3</v>
      </c>
      <c r="D27" s="613">
        <v>3.8</v>
      </c>
      <c r="E27" s="613">
        <v>2.1</v>
      </c>
      <c r="F27" s="613">
        <v>2.4</v>
      </c>
      <c r="G27" s="613">
        <v>3.1</v>
      </c>
      <c r="H27" s="613">
        <v>3.1</v>
      </c>
      <c r="I27" s="613">
        <v>3.4</v>
      </c>
      <c r="J27" s="613">
        <v>4.5999999999999996</v>
      </c>
      <c r="K27" s="613">
        <v>4.5</v>
      </c>
      <c r="L27" s="613">
        <v>1.7</v>
      </c>
      <c r="M27" s="614">
        <v>0.5</v>
      </c>
      <c r="N27" s="615"/>
      <c r="O27" s="613">
        <f>0.1+0.4</f>
        <v>0.5</v>
      </c>
      <c r="P27" s="613">
        <f>0+0.3</f>
        <v>0.3</v>
      </c>
      <c r="Q27" s="641">
        <f t="shared" si="4"/>
        <v>-0.2</v>
      </c>
      <c r="R27" s="648">
        <f t="shared" si="2"/>
        <v>-40</v>
      </c>
      <c r="S27" s="197"/>
      <c r="U27" s="197"/>
      <c r="AA27" s="68"/>
    </row>
    <row r="28" spans="1:27" ht="12" customHeight="1" x14ac:dyDescent="0.2">
      <c r="A28" s="445" t="s">
        <v>117</v>
      </c>
      <c r="B28" s="294"/>
      <c r="C28" s="613">
        <v>0</v>
      </c>
      <c r="D28" s="613">
        <v>0</v>
      </c>
      <c r="E28" s="613">
        <v>12.4</v>
      </c>
      <c r="F28" s="613">
        <v>20.9</v>
      </c>
      <c r="G28" s="613">
        <v>2</v>
      </c>
      <c r="H28" s="613">
        <v>0</v>
      </c>
      <c r="I28" s="613">
        <v>0</v>
      </c>
      <c r="J28" s="613">
        <v>0</v>
      </c>
      <c r="K28" s="613">
        <v>0</v>
      </c>
      <c r="L28" s="613">
        <v>0</v>
      </c>
      <c r="M28" s="614">
        <v>0</v>
      </c>
      <c r="N28" s="615"/>
      <c r="O28" s="614">
        <v>0</v>
      </c>
      <c r="P28" s="614">
        <v>0</v>
      </c>
      <c r="Q28" s="641">
        <f t="shared" si="4"/>
        <v>0</v>
      </c>
      <c r="R28" s="649" t="s">
        <v>306</v>
      </c>
      <c r="S28" s="197"/>
      <c r="U28" s="197"/>
      <c r="AA28" s="68"/>
    </row>
    <row r="29" spans="1:27" ht="12" customHeight="1" x14ac:dyDescent="0.2">
      <c r="A29" s="445" t="s">
        <v>118</v>
      </c>
      <c r="B29" s="294"/>
      <c r="C29" s="609">
        <v>122.8</v>
      </c>
      <c r="D29" s="609">
        <v>90.9</v>
      </c>
      <c r="E29" s="609">
        <v>111.7</v>
      </c>
      <c r="F29" s="609">
        <v>97</v>
      </c>
      <c r="G29" s="609">
        <v>141</v>
      </c>
      <c r="H29" s="609">
        <v>91.6</v>
      </c>
      <c r="I29" s="609">
        <v>110.2</v>
      </c>
      <c r="J29" s="609">
        <v>116.4</v>
      </c>
      <c r="K29" s="609">
        <v>102.4</v>
      </c>
      <c r="L29" s="609">
        <v>60.1</v>
      </c>
      <c r="M29" s="610">
        <v>76.8</v>
      </c>
      <c r="N29" s="611"/>
      <c r="O29" s="613">
        <f>10.2+64.3</f>
        <v>74.5</v>
      </c>
      <c r="P29" s="609">
        <f>11.5+59</f>
        <v>70.5</v>
      </c>
      <c r="Q29" s="641">
        <f t="shared" si="4"/>
        <v>-4</v>
      </c>
      <c r="R29" s="648">
        <f t="shared" si="2"/>
        <v>-5.3691275167785237</v>
      </c>
      <c r="S29" s="196"/>
      <c r="U29" s="196"/>
      <c r="AA29" s="68"/>
    </row>
    <row r="30" spans="1:27" ht="12" customHeight="1" x14ac:dyDescent="0.2">
      <c r="A30" s="445" t="s">
        <v>119</v>
      </c>
      <c r="B30" s="294"/>
      <c r="C30" s="613">
        <v>6.6</v>
      </c>
      <c r="D30" s="613">
        <v>7.5</v>
      </c>
      <c r="E30" s="613">
        <v>3.8</v>
      </c>
      <c r="F30" s="613">
        <v>3.3</v>
      </c>
      <c r="G30" s="613">
        <v>4.5</v>
      </c>
      <c r="H30" s="613">
        <v>2.7</v>
      </c>
      <c r="I30" s="613">
        <v>2.1</v>
      </c>
      <c r="J30" s="613">
        <v>3.5</v>
      </c>
      <c r="K30" s="613">
        <v>1.7</v>
      </c>
      <c r="L30" s="613">
        <v>0.5</v>
      </c>
      <c r="M30" s="614">
        <v>0</v>
      </c>
      <c r="N30" s="615"/>
      <c r="O30" s="613">
        <v>0</v>
      </c>
      <c r="P30" s="613">
        <v>0.1</v>
      </c>
      <c r="Q30" s="641">
        <f t="shared" si="4"/>
        <v>0.1</v>
      </c>
      <c r="R30" s="649" t="s">
        <v>306</v>
      </c>
      <c r="S30" s="197"/>
      <c r="U30" s="197"/>
      <c r="AA30" s="68"/>
    </row>
    <row r="31" spans="1:27" ht="12" customHeight="1" x14ac:dyDescent="0.2">
      <c r="A31" s="445" t="s">
        <v>120</v>
      </c>
      <c r="B31" s="294"/>
      <c r="C31" s="613">
        <v>0</v>
      </c>
      <c r="D31" s="613">
        <v>1</v>
      </c>
      <c r="E31" s="613">
        <v>0</v>
      </c>
      <c r="F31" s="613">
        <v>0</v>
      </c>
      <c r="G31" s="613">
        <v>0</v>
      </c>
      <c r="H31" s="613">
        <v>0</v>
      </c>
      <c r="I31" s="613">
        <v>0</v>
      </c>
      <c r="J31" s="613">
        <v>0</v>
      </c>
      <c r="K31" s="613">
        <v>0</v>
      </c>
      <c r="L31" s="613">
        <v>0</v>
      </c>
      <c r="M31" s="614">
        <v>0</v>
      </c>
      <c r="N31" s="615"/>
      <c r="O31" s="609">
        <v>0</v>
      </c>
      <c r="P31" s="613">
        <v>0</v>
      </c>
      <c r="Q31" s="641">
        <f t="shared" si="4"/>
        <v>0</v>
      </c>
      <c r="R31" s="649" t="s">
        <v>306</v>
      </c>
      <c r="S31" s="197"/>
      <c r="U31" s="197"/>
      <c r="AA31" s="68"/>
    </row>
    <row r="32" spans="1:27" ht="12" customHeight="1" x14ac:dyDescent="0.2">
      <c r="A32" s="444" t="s">
        <v>121</v>
      </c>
      <c r="B32" s="294"/>
      <c r="C32" s="613">
        <v>75.400000000000006</v>
      </c>
      <c r="D32" s="613">
        <v>219.5</v>
      </c>
      <c r="E32" s="613">
        <v>106.9</v>
      </c>
      <c r="F32" s="613">
        <v>22.4</v>
      </c>
      <c r="G32" s="613">
        <v>130</v>
      </c>
      <c r="H32" s="613">
        <v>0.6</v>
      </c>
      <c r="I32" s="613">
        <v>2.1</v>
      </c>
      <c r="J32" s="613">
        <v>28.3</v>
      </c>
      <c r="K32" s="613">
        <v>0.7</v>
      </c>
      <c r="L32" s="613">
        <v>0</v>
      </c>
      <c r="M32" s="614">
        <v>0</v>
      </c>
      <c r="N32" s="615"/>
      <c r="O32" s="609">
        <v>0</v>
      </c>
      <c r="P32" s="613">
        <f>0.1+0.5</f>
        <v>0.6</v>
      </c>
      <c r="Q32" s="641">
        <f t="shared" si="4"/>
        <v>0.6</v>
      </c>
      <c r="R32" s="649" t="s">
        <v>306</v>
      </c>
      <c r="S32" s="197"/>
      <c r="U32" s="197"/>
      <c r="AA32" s="68"/>
    </row>
    <row r="33" spans="1:27" ht="12" customHeight="1" x14ac:dyDescent="0.2">
      <c r="A33" s="445" t="s">
        <v>122</v>
      </c>
      <c r="B33" s="294"/>
      <c r="C33" s="617">
        <v>27.399999999999864</v>
      </c>
      <c r="D33" s="617">
        <v>30.300000000000068</v>
      </c>
      <c r="E33" s="617">
        <v>18.600000000000023</v>
      </c>
      <c r="F33" s="617">
        <v>21.899999999999977</v>
      </c>
      <c r="G33" s="618">
        <f t="shared" ref="G33:O33" si="5">G20-SUM(G21:G32)</f>
        <v>35.39999999999992</v>
      </c>
      <c r="H33" s="618">
        <f t="shared" si="5"/>
        <v>12.699999999999989</v>
      </c>
      <c r="I33" s="618">
        <f t="shared" si="5"/>
        <v>24.299999999999955</v>
      </c>
      <c r="J33" s="618">
        <f t="shared" si="5"/>
        <v>22.699999999999989</v>
      </c>
      <c r="K33" s="618">
        <f t="shared" si="5"/>
        <v>22.69999999999996</v>
      </c>
      <c r="L33" s="618">
        <f t="shared" ref="L33" si="6">L20-SUM(L21:L32)</f>
        <v>6.1999999999999602</v>
      </c>
      <c r="M33" s="619">
        <f t="shared" ref="M33" si="7">M20-SUM(M21:M32)</f>
        <v>4.3999999999999773</v>
      </c>
      <c r="N33" s="620"/>
      <c r="O33" s="618">
        <f t="shared" si="5"/>
        <v>4.2999999999998977</v>
      </c>
      <c r="P33" s="618">
        <f>P20-SUM(P21:P32)</f>
        <v>4.1999999999999886</v>
      </c>
      <c r="Q33" s="641">
        <f t="shared" si="4"/>
        <v>-9.9999999999909051E-2</v>
      </c>
      <c r="R33" s="648">
        <f t="shared" si="2"/>
        <v>-2.3255813953467772</v>
      </c>
      <c r="S33" s="198"/>
      <c r="U33" s="199"/>
    </row>
    <row r="34" spans="1:27" ht="6.75" customHeight="1" x14ac:dyDescent="0.2">
      <c r="A34" s="445" t="s">
        <v>1</v>
      </c>
      <c r="B34" s="294"/>
      <c r="C34" s="613"/>
      <c r="D34" s="613"/>
      <c r="E34" s="613"/>
      <c r="F34" s="613"/>
      <c r="G34" s="613"/>
      <c r="H34" s="621"/>
      <c r="I34" s="621"/>
      <c r="J34" s="621"/>
      <c r="K34" s="621"/>
      <c r="L34" s="621"/>
      <c r="M34" s="622"/>
      <c r="N34" s="623"/>
      <c r="O34" s="621"/>
      <c r="P34" s="621"/>
      <c r="Q34" s="641"/>
      <c r="R34" s="648"/>
      <c r="S34" s="200"/>
      <c r="U34" s="200"/>
      <c r="AA34" s="68"/>
    </row>
    <row r="35" spans="1:27" x14ac:dyDescent="0.2">
      <c r="A35" s="443" t="s">
        <v>123</v>
      </c>
      <c r="B35" s="294"/>
      <c r="C35" s="609">
        <v>249.1</v>
      </c>
      <c r="D35" s="609">
        <v>110.8</v>
      </c>
      <c r="E35" s="609">
        <v>128</v>
      </c>
      <c r="F35" s="609">
        <v>91.4</v>
      </c>
      <c r="G35" s="609">
        <v>147.9</v>
      </c>
      <c r="H35" s="609">
        <v>54.1</v>
      </c>
      <c r="I35" s="609">
        <v>61.7</v>
      </c>
      <c r="J35" s="609">
        <v>7.5</v>
      </c>
      <c r="K35" s="609">
        <v>10.1</v>
      </c>
      <c r="L35" s="609">
        <v>1.5</v>
      </c>
      <c r="M35" s="610">
        <v>1.1000000000000001</v>
      </c>
      <c r="N35" s="611"/>
      <c r="O35" s="613">
        <f>1.1</f>
        <v>1.1000000000000001</v>
      </c>
      <c r="P35" s="609">
        <v>34.9</v>
      </c>
      <c r="Q35" s="641">
        <f t="shared" ref="Q35:Q45" si="8">P35-O35</f>
        <v>33.799999999999997</v>
      </c>
      <c r="R35" s="648">
        <f t="shared" si="2"/>
        <v>3072.7272727272725</v>
      </c>
      <c r="S35" s="196"/>
      <c r="U35" s="196"/>
      <c r="AA35" s="68"/>
    </row>
    <row r="36" spans="1:27" x14ac:dyDescent="0.2">
      <c r="A36" s="445" t="s">
        <v>124</v>
      </c>
      <c r="B36" s="294"/>
      <c r="C36" s="613">
        <v>0</v>
      </c>
      <c r="D36" s="613">
        <v>0</v>
      </c>
      <c r="E36" s="613">
        <v>0</v>
      </c>
      <c r="F36" s="613">
        <v>0</v>
      </c>
      <c r="G36" s="613">
        <v>3</v>
      </c>
      <c r="H36" s="613">
        <v>0</v>
      </c>
      <c r="I36" s="613">
        <v>0</v>
      </c>
      <c r="J36" s="613">
        <v>0</v>
      </c>
      <c r="K36" s="613">
        <v>0</v>
      </c>
      <c r="L36" s="613">
        <v>0</v>
      </c>
      <c r="M36" s="614">
        <v>0</v>
      </c>
      <c r="N36" s="615"/>
      <c r="O36" s="614">
        <v>0</v>
      </c>
      <c r="P36" s="614">
        <v>0</v>
      </c>
      <c r="Q36" s="641">
        <f t="shared" si="8"/>
        <v>0</v>
      </c>
      <c r="R36" s="649" t="s">
        <v>306</v>
      </c>
      <c r="S36" s="197"/>
      <c r="U36" s="197"/>
      <c r="AA36" s="68"/>
    </row>
    <row r="37" spans="1:27" x14ac:dyDescent="0.2">
      <c r="A37" s="445" t="s">
        <v>125</v>
      </c>
      <c r="B37" s="294"/>
      <c r="C37" s="613">
        <v>112.1</v>
      </c>
      <c r="D37" s="613">
        <v>41.7</v>
      </c>
      <c r="E37" s="613">
        <v>29.8</v>
      </c>
      <c r="F37" s="613">
        <v>0</v>
      </c>
      <c r="G37" s="613">
        <v>4.2</v>
      </c>
      <c r="H37" s="613">
        <v>6.8</v>
      </c>
      <c r="I37" s="613">
        <v>6.4</v>
      </c>
      <c r="J37" s="613">
        <v>3.6</v>
      </c>
      <c r="K37" s="613">
        <v>7.7</v>
      </c>
      <c r="L37" s="613">
        <v>0</v>
      </c>
      <c r="M37" s="614">
        <v>0</v>
      </c>
      <c r="N37" s="615"/>
      <c r="O37" s="614">
        <v>0</v>
      </c>
      <c r="P37" s="614">
        <v>0</v>
      </c>
      <c r="Q37" s="641">
        <f t="shared" si="8"/>
        <v>0</v>
      </c>
      <c r="R37" s="649" t="s">
        <v>306</v>
      </c>
      <c r="S37" s="197"/>
      <c r="U37" s="197"/>
    </row>
    <row r="38" spans="1:27" x14ac:dyDescent="0.2">
      <c r="A38" s="445" t="s">
        <v>126</v>
      </c>
      <c r="B38" s="294"/>
      <c r="C38" s="613">
        <v>4.4000000000000004</v>
      </c>
      <c r="D38" s="613">
        <v>3.6</v>
      </c>
      <c r="E38" s="613">
        <v>4.0999999999999996</v>
      </c>
      <c r="F38" s="613">
        <v>3.1</v>
      </c>
      <c r="G38" s="613">
        <v>3.4</v>
      </c>
      <c r="H38" s="613">
        <v>1.3</v>
      </c>
      <c r="I38" s="613">
        <v>1.8</v>
      </c>
      <c r="J38" s="613">
        <v>0.6</v>
      </c>
      <c r="K38" s="613">
        <v>1</v>
      </c>
      <c r="L38" s="613">
        <v>0</v>
      </c>
      <c r="M38" s="614">
        <v>0</v>
      </c>
      <c r="N38" s="615"/>
      <c r="O38" s="614">
        <v>0</v>
      </c>
      <c r="P38" s="614">
        <v>0</v>
      </c>
      <c r="Q38" s="641">
        <f t="shared" si="8"/>
        <v>0</v>
      </c>
      <c r="R38" s="649" t="s">
        <v>306</v>
      </c>
      <c r="S38" s="197"/>
      <c r="U38" s="197"/>
    </row>
    <row r="39" spans="1:27" x14ac:dyDescent="0.2">
      <c r="A39" s="445" t="s">
        <v>127</v>
      </c>
      <c r="B39" s="294"/>
      <c r="C39" s="609">
        <v>15.5</v>
      </c>
      <c r="D39" s="609">
        <v>6.3</v>
      </c>
      <c r="E39" s="609">
        <v>0.5</v>
      </c>
      <c r="F39" s="613">
        <v>1.8</v>
      </c>
      <c r="G39" s="613">
        <v>4.4000000000000004</v>
      </c>
      <c r="H39" s="613">
        <v>7.7</v>
      </c>
      <c r="I39" s="613">
        <v>9.6</v>
      </c>
      <c r="J39" s="613">
        <v>3.2</v>
      </c>
      <c r="K39" s="613">
        <v>1.4</v>
      </c>
      <c r="L39" s="613">
        <v>1.3</v>
      </c>
      <c r="M39" s="614">
        <v>1</v>
      </c>
      <c r="N39" s="615"/>
      <c r="O39" s="613">
        <v>0.9</v>
      </c>
      <c r="P39" s="613">
        <v>0.1</v>
      </c>
      <c r="Q39" s="641">
        <f t="shared" si="8"/>
        <v>-0.8</v>
      </c>
      <c r="R39" s="648">
        <f t="shared" si="2"/>
        <v>-88.8888888888889</v>
      </c>
      <c r="S39" s="197"/>
      <c r="U39" s="197"/>
    </row>
    <row r="40" spans="1:27" ht="12" customHeight="1" x14ac:dyDescent="0.2">
      <c r="A40" s="445" t="s">
        <v>128</v>
      </c>
      <c r="B40" s="294"/>
      <c r="C40" s="613">
        <v>89.5</v>
      </c>
      <c r="D40" s="613">
        <v>47.8</v>
      </c>
      <c r="E40" s="613">
        <v>93.2</v>
      </c>
      <c r="F40" s="613">
        <v>86.2</v>
      </c>
      <c r="G40" s="613">
        <v>85.1</v>
      </c>
      <c r="H40" s="613">
        <v>38.1</v>
      </c>
      <c r="I40" s="613">
        <v>43.9</v>
      </c>
      <c r="J40" s="613">
        <v>0</v>
      </c>
      <c r="K40" s="613">
        <v>0</v>
      </c>
      <c r="L40" s="613">
        <v>0</v>
      </c>
      <c r="M40" s="614">
        <v>0</v>
      </c>
      <c r="N40" s="615"/>
      <c r="O40" s="614">
        <v>0</v>
      </c>
      <c r="P40" s="614">
        <v>0</v>
      </c>
      <c r="Q40" s="641">
        <f t="shared" si="8"/>
        <v>0</v>
      </c>
      <c r="R40" s="649" t="s">
        <v>306</v>
      </c>
      <c r="S40" s="197"/>
      <c r="U40" s="197"/>
    </row>
    <row r="41" spans="1:27" ht="12" customHeight="1" x14ac:dyDescent="0.2">
      <c r="A41" s="445" t="s">
        <v>129</v>
      </c>
      <c r="B41" s="294"/>
      <c r="C41" s="613">
        <v>18.399999999999999</v>
      </c>
      <c r="D41" s="613">
        <v>0</v>
      </c>
      <c r="E41" s="613">
        <v>0</v>
      </c>
      <c r="F41" s="613">
        <v>0</v>
      </c>
      <c r="G41" s="613">
        <v>0</v>
      </c>
      <c r="H41" s="613">
        <v>0</v>
      </c>
      <c r="I41" s="613">
        <v>0</v>
      </c>
      <c r="J41" s="613">
        <v>0</v>
      </c>
      <c r="K41" s="613">
        <v>0</v>
      </c>
      <c r="L41" s="613">
        <v>0</v>
      </c>
      <c r="M41" s="614">
        <v>0</v>
      </c>
      <c r="N41" s="615"/>
      <c r="O41" s="614">
        <v>0</v>
      </c>
      <c r="P41" s="614">
        <v>0</v>
      </c>
      <c r="Q41" s="641">
        <f t="shared" si="8"/>
        <v>0</v>
      </c>
      <c r="R41" s="649" t="s">
        <v>306</v>
      </c>
      <c r="S41" s="197"/>
      <c r="U41" s="197"/>
      <c r="AA41" s="68"/>
    </row>
    <row r="42" spans="1:27" ht="12" customHeight="1" x14ac:dyDescent="0.2">
      <c r="A42" s="445" t="s">
        <v>130</v>
      </c>
      <c r="B42" s="294"/>
      <c r="C42" s="613">
        <v>0</v>
      </c>
      <c r="D42" s="613">
        <v>0</v>
      </c>
      <c r="E42" s="613">
        <v>0</v>
      </c>
      <c r="F42" s="613">
        <v>0</v>
      </c>
      <c r="G42" s="613">
        <v>0</v>
      </c>
      <c r="H42" s="613">
        <v>0</v>
      </c>
      <c r="I42" s="613">
        <v>0</v>
      </c>
      <c r="J42" s="613">
        <v>0</v>
      </c>
      <c r="K42" s="613">
        <v>0</v>
      </c>
      <c r="L42" s="613">
        <v>0</v>
      </c>
      <c r="M42" s="614">
        <v>0</v>
      </c>
      <c r="N42" s="615"/>
      <c r="O42" s="609">
        <v>0</v>
      </c>
      <c r="P42" s="613">
        <v>34.6</v>
      </c>
      <c r="Q42" s="641">
        <f t="shared" si="8"/>
        <v>34.6</v>
      </c>
      <c r="R42" s="649" t="s">
        <v>306</v>
      </c>
      <c r="S42" s="197"/>
      <c r="U42" s="197"/>
      <c r="AA42" s="68"/>
    </row>
    <row r="43" spans="1:27" x14ac:dyDescent="0.2">
      <c r="A43" s="445" t="s">
        <v>131</v>
      </c>
      <c r="B43" s="294"/>
      <c r="C43" s="613">
        <v>0.9</v>
      </c>
      <c r="D43" s="613">
        <v>0.8</v>
      </c>
      <c r="E43" s="613">
        <v>0.1</v>
      </c>
      <c r="F43" s="613">
        <v>0.2</v>
      </c>
      <c r="G43" s="613">
        <v>0.2</v>
      </c>
      <c r="H43" s="613">
        <v>0.2</v>
      </c>
      <c r="I43" s="613">
        <v>0.1</v>
      </c>
      <c r="J43" s="613">
        <v>0</v>
      </c>
      <c r="K43" s="613">
        <v>0</v>
      </c>
      <c r="L43" s="613">
        <v>0</v>
      </c>
      <c r="M43" s="614">
        <v>0</v>
      </c>
      <c r="N43" s="615"/>
      <c r="O43" s="614">
        <v>0</v>
      </c>
      <c r="P43" s="614">
        <v>0</v>
      </c>
      <c r="Q43" s="641">
        <f t="shared" si="8"/>
        <v>0</v>
      </c>
      <c r="R43" s="649" t="s">
        <v>306</v>
      </c>
      <c r="S43" s="197"/>
      <c r="U43" s="197"/>
      <c r="AA43" s="68"/>
    </row>
    <row r="44" spans="1:27" x14ac:dyDescent="0.2">
      <c r="A44" s="445" t="s">
        <v>132</v>
      </c>
      <c r="B44" s="294"/>
      <c r="C44" s="613">
        <v>0</v>
      </c>
      <c r="D44" s="613">
        <v>0</v>
      </c>
      <c r="E44" s="613">
        <v>0</v>
      </c>
      <c r="F44" s="613">
        <v>0</v>
      </c>
      <c r="G44" s="613">
        <v>0</v>
      </c>
      <c r="H44" s="613">
        <v>0</v>
      </c>
      <c r="I44" s="613">
        <v>0</v>
      </c>
      <c r="J44" s="613">
        <v>0</v>
      </c>
      <c r="K44" s="613">
        <v>0</v>
      </c>
      <c r="L44" s="613">
        <v>0</v>
      </c>
      <c r="M44" s="614">
        <v>0</v>
      </c>
      <c r="N44" s="615"/>
      <c r="O44" s="614">
        <v>0</v>
      </c>
      <c r="P44" s="614">
        <v>0</v>
      </c>
      <c r="Q44" s="641">
        <f t="shared" si="8"/>
        <v>0</v>
      </c>
      <c r="R44" s="649" t="s">
        <v>306</v>
      </c>
      <c r="S44" s="197"/>
      <c r="U44" s="197"/>
      <c r="AA44" s="68"/>
    </row>
    <row r="45" spans="1:27" x14ac:dyDescent="0.2">
      <c r="A45" s="445" t="s">
        <v>133</v>
      </c>
      <c r="B45" s="294"/>
      <c r="C45" s="617">
        <v>8.2999999999999829</v>
      </c>
      <c r="D45" s="617">
        <v>10.599999999999994</v>
      </c>
      <c r="E45" s="617">
        <v>0.40000000000001135</v>
      </c>
      <c r="F45" s="617">
        <v>9.9999999999994316E-2</v>
      </c>
      <c r="G45" s="617">
        <f>G35-SUM(G36:G44)</f>
        <v>47.600000000000009</v>
      </c>
      <c r="H45" s="618">
        <f>H35-SUM(H36:H44)</f>
        <v>0</v>
      </c>
      <c r="I45" s="618">
        <v>0</v>
      </c>
      <c r="J45" s="613">
        <v>0</v>
      </c>
      <c r="K45" s="613">
        <v>0</v>
      </c>
      <c r="L45" s="613">
        <v>0.2</v>
      </c>
      <c r="M45" s="614">
        <f>M35-SUM(M36:M44)</f>
        <v>0.10000000000000009</v>
      </c>
      <c r="N45" s="615"/>
      <c r="O45" s="613">
        <f>O35-SUM(O36:O44)</f>
        <v>0.20000000000000007</v>
      </c>
      <c r="P45" s="613">
        <f>P35-SUM(P36:P44)</f>
        <v>0.19999999999999574</v>
      </c>
      <c r="Q45" s="641">
        <f t="shared" si="8"/>
        <v>-4.3298697960381105E-15</v>
      </c>
      <c r="R45" s="648">
        <f t="shared" si="2"/>
        <v>-2.1649348980190544E-12</v>
      </c>
      <c r="S45" s="197"/>
      <c r="U45" s="199"/>
      <c r="AA45" s="68"/>
    </row>
    <row r="46" spans="1:27" ht="6.75" customHeight="1" x14ac:dyDescent="0.2">
      <c r="A46" s="445"/>
      <c r="B46" s="294"/>
      <c r="C46" s="613"/>
      <c r="D46" s="613"/>
      <c r="E46" s="613"/>
      <c r="F46" s="613"/>
      <c r="G46" s="613"/>
      <c r="H46" s="613"/>
      <c r="I46" s="613"/>
      <c r="J46" s="613"/>
      <c r="K46" s="613"/>
      <c r="L46" s="613"/>
      <c r="M46" s="614"/>
      <c r="N46" s="615"/>
      <c r="O46" s="613"/>
      <c r="P46" s="613"/>
      <c r="Q46" s="641"/>
      <c r="R46" s="648"/>
      <c r="S46" s="197"/>
      <c r="U46" s="197"/>
      <c r="AA46" s="68"/>
    </row>
    <row r="47" spans="1:27" ht="12" customHeight="1" x14ac:dyDescent="0.2">
      <c r="A47" s="443" t="s">
        <v>92</v>
      </c>
      <c r="B47" s="294"/>
      <c r="C47" s="609">
        <v>2110.9</v>
      </c>
      <c r="D47" s="609">
        <v>1811.2</v>
      </c>
      <c r="E47" s="609">
        <v>2176</v>
      </c>
      <c r="F47" s="609">
        <v>2150.6</v>
      </c>
      <c r="G47" s="609">
        <v>2198.1</v>
      </c>
      <c r="H47" s="609">
        <v>2003.4</v>
      </c>
      <c r="I47" s="609">
        <v>2066.9</v>
      </c>
      <c r="J47" s="617">
        <v>2117.4</v>
      </c>
      <c r="K47" s="617">
        <v>2388.5</v>
      </c>
      <c r="L47" s="617">
        <v>2062</v>
      </c>
      <c r="M47" s="617">
        <v>1259.5</v>
      </c>
      <c r="N47" s="624"/>
      <c r="O47" s="613">
        <f>189.3+1088.3</f>
        <v>1277.5999999999999</v>
      </c>
      <c r="P47" s="617">
        <f>288.4+2111.9</f>
        <v>2400.3000000000002</v>
      </c>
      <c r="Q47" s="641">
        <f t="shared" ref="Q47:Q65" si="9">P47-O47</f>
        <v>1122.7000000000003</v>
      </c>
      <c r="R47" s="648">
        <f t="shared" si="2"/>
        <v>87.875704445835964</v>
      </c>
      <c r="S47" s="201"/>
      <c r="U47" s="202"/>
      <c r="AA47" s="68"/>
    </row>
    <row r="48" spans="1:27" ht="12" customHeight="1" x14ac:dyDescent="0.2">
      <c r="A48" s="445" t="s">
        <v>134</v>
      </c>
      <c r="B48" s="294"/>
      <c r="C48" s="613">
        <v>6.3</v>
      </c>
      <c r="D48" s="613">
        <v>6</v>
      </c>
      <c r="E48" s="613">
        <v>6.1</v>
      </c>
      <c r="F48" s="613">
        <v>4.9000000000000004</v>
      </c>
      <c r="G48" s="613">
        <v>4</v>
      </c>
      <c r="H48" s="613">
        <v>4.5</v>
      </c>
      <c r="I48" s="613">
        <v>4.9000000000000004</v>
      </c>
      <c r="J48" s="613">
        <v>5.5</v>
      </c>
      <c r="K48" s="613">
        <v>4.5</v>
      </c>
      <c r="L48" s="613">
        <v>5</v>
      </c>
      <c r="M48" s="614">
        <v>4.8</v>
      </c>
      <c r="N48" s="615"/>
      <c r="O48" s="613">
        <f>0.1+4.1</f>
        <v>4.1999999999999993</v>
      </c>
      <c r="P48" s="613">
        <f>0.2+4.4</f>
        <v>4.6000000000000005</v>
      </c>
      <c r="Q48" s="641">
        <f t="shared" si="9"/>
        <v>0.40000000000000124</v>
      </c>
      <c r="R48" s="648">
        <f t="shared" si="2"/>
        <v>9.5238095238095557</v>
      </c>
      <c r="S48" s="197"/>
      <c r="U48" s="197"/>
      <c r="AA48" s="68"/>
    </row>
    <row r="49" spans="1:30" ht="12" customHeight="1" x14ac:dyDescent="0.2">
      <c r="A49" s="445" t="s">
        <v>135</v>
      </c>
      <c r="B49" s="294"/>
      <c r="C49" s="613">
        <v>0.1</v>
      </c>
      <c r="D49" s="613">
        <v>0.1</v>
      </c>
      <c r="E49" s="613">
        <v>0.1</v>
      </c>
      <c r="F49" s="613">
        <v>0</v>
      </c>
      <c r="G49" s="613">
        <v>0</v>
      </c>
      <c r="H49" s="613">
        <v>0</v>
      </c>
      <c r="I49" s="613">
        <v>0</v>
      </c>
      <c r="J49" s="613">
        <v>0</v>
      </c>
      <c r="K49" s="613">
        <v>120.2</v>
      </c>
      <c r="L49" s="613">
        <v>0</v>
      </c>
      <c r="M49" s="614">
        <v>0</v>
      </c>
      <c r="N49" s="615"/>
      <c r="O49" s="614">
        <v>0</v>
      </c>
      <c r="P49" s="614">
        <v>0</v>
      </c>
      <c r="Q49" s="641">
        <f t="shared" si="9"/>
        <v>0</v>
      </c>
      <c r="R49" s="649" t="s">
        <v>306</v>
      </c>
      <c r="S49" s="197"/>
      <c r="U49" s="197"/>
      <c r="AA49" s="68"/>
    </row>
    <row r="50" spans="1:30" ht="12" customHeight="1" x14ac:dyDescent="0.2">
      <c r="A50" s="445" t="s">
        <v>136</v>
      </c>
      <c r="B50" s="294"/>
      <c r="C50" s="609">
        <v>145.80000000000001</v>
      </c>
      <c r="D50" s="609">
        <v>138.6</v>
      </c>
      <c r="E50" s="609">
        <v>139.30000000000001</v>
      </c>
      <c r="F50" s="609">
        <v>151.1</v>
      </c>
      <c r="G50" s="609">
        <v>125.1</v>
      </c>
      <c r="H50" s="613">
        <v>122.9</v>
      </c>
      <c r="I50" s="613">
        <v>137.6</v>
      </c>
      <c r="J50" s="613">
        <v>150.9</v>
      </c>
      <c r="K50" s="613">
        <v>138.19999999999999</v>
      </c>
      <c r="L50" s="613">
        <v>142.9</v>
      </c>
      <c r="M50" s="614">
        <v>112.8</v>
      </c>
      <c r="N50" s="615"/>
      <c r="O50" s="613">
        <f>28.5+97.6</f>
        <v>126.1</v>
      </c>
      <c r="P50" s="613">
        <f>28.6+105.2</f>
        <v>133.80000000000001</v>
      </c>
      <c r="Q50" s="641">
        <f t="shared" si="9"/>
        <v>7.7000000000000171</v>
      </c>
      <c r="R50" s="648">
        <f t="shared" si="2"/>
        <v>6.1062648691514809</v>
      </c>
      <c r="S50" s="197"/>
      <c r="U50" s="197"/>
      <c r="AA50" s="68"/>
    </row>
    <row r="51" spans="1:30" ht="12" customHeight="1" x14ac:dyDescent="0.2">
      <c r="A51" s="445" t="s">
        <v>137</v>
      </c>
      <c r="B51" s="294"/>
      <c r="C51" s="609">
        <v>150.1</v>
      </c>
      <c r="D51" s="609">
        <v>138.9</v>
      </c>
      <c r="E51" s="609">
        <v>285.3</v>
      </c>
      <c r="F51" s="609">
        <v>159.19999999999999</v>
      </c>
      <c r="G51" s="609">
        <v>104.5</v>
      </c>
      <c r="H51" s="613">
        <v>144.4</v>
      </c>
      <c r="I51" s="613">
        <v>150.5</v>
      </c>
      <c r="J51" s="613">
        <v>176.7</v>
      </c>
      <c r="K51" s="613">
        <v>54.4</v>
      </c>
      <c r="L51" s="613">
        <v>140.69999999999999</v>
      </c>
      <c r="M51" s="614">
        <v>169.5</v>
      </c>
      <c r="N51" s="615"/>
      <c r="O51" s="613">
        <f>16.2+154.7</f>
        <v>170.89999999999998</v>
      </c>
      <c r="P51" s="613">
        <f>0+167.8</f>
        <v>167.8</v>
      </c>
      <c r="Q51" s="641">
        <f t="shared" si="9"/>
        <v>-3.0999999999999659</v>
      </c>
      <c r="R51" s="648">
        <f t="shared" si="2"/>
        <v>-1.8139262726740588</v>
      </c>
      <c r="S51" s="197"/>
      <c r="U51" s="197"/>
      <c r="AA51" s="68"/>
    </row>
    <row r="52" spans="1:30" ht="12" customHeight="1" x14ac:dyDescent="0.2">
      <c r="A52" s="445" t="s">
        <v>138</v>
      </c>
      <c r="B52" s="294"/>
      <c r="C52" s="609">
        <v>75.3</v>
      </c>
      <c r="D52" s="609">
        <v>63.1</v>
      </c>
      <c r="E52" s="609">
        <v>91.3</v>
      </c>
      <c r="F52" s="609">
        <v>79.400000000000006</v>
      </c>
      <c r="G52" s="609">
        <v>58.8</v>
      </c>
      <c r="H52" s="613">
        <v>66.900000000000006</v>
      </c>
      <c r="I52" s="613">
        <v>76.599999999999994</v>
      </c>
      <c r="J52" s="613">
        <v>47.8</v>
      </c>
      <c r="K52" s="613">
        <v>84.8</v>
      </c>
      <c r="L52" s="613">
        <v>73.2</v>
      </c>
      <c r="M52" s="614">
        <v>0.2</v>
      </c>
      <c r="N52" s="615"/>
      <c r="O52" s="609">
        <v>0.1</v>
      </c>
      <c r="P52" s="613">
        <v>9.1999999999999993</v>
      </c>
      <c r="Q52" s="641">
        <f t="shared" si="9"/>
        <v>9.1</v>
      </c>
      <c r="R52" s="648">
        <f t="shared" si="2"/>
        <v>9099.9999999999982</v>
      </c>
      <c r="S52" s="197"/>
      <c r="U52" s="197"/>
      <c r="AA52" s="68"/>
    </row>
    <row r="53" spans="1:30" ht="12" customHeight="1" x14ac:dyDescent="0.2">
      <c r="A53" s="445" t="s">
        <v>139</v>
      </c>
      <c r="B53" s="294"/>
      <c r="C53" s="613">
        <v>1.7</v>
      </c>
      <c r="D53" s="613">
        <v>7.9</v>
      </c>
      <c r="E53" s="613">
        <v>6.5</v>
      </c>
      <c r="F53" s="613">
        <v>15</v>
      </c>
      <c r="G53" s="613">
        <v>36.6</v>
      </c>
      <c r="H53" s="613">
        <v>15.5</v>
      </c>
      <c r="I53" s="613">
        <v>20.9</v>
      </c>
      <c r="J53" s="613">
        <v>33.5</v>
      </c>
      <c r="K53" s="613">
        <v>41.7</v>
      </c>
      <c r="L53" s="613">
        <v>19.899999999999999</v>
      </c>
      <c r="M53" s="614">
        <v>16.8</v>
      </c>
      <c r="N53" s="615"/>
      <c r="O53" s="613">
        <f>6+4.8</f>
        <v>10.8</v>
      </c>
      <c r="P53" s="613">
        <f>0.6+51.9</f>
        <v>52.5</v>
      </c>
      <c r="Q53" s="641">
        <f t="shared" si="9"/>
        <v>41.7</v>
      </c>
      <c r="R53" s="648">
        <f t="shared" si="2"/>
        <v>386.11111111111114</v>
      </c>
      <c r="S53" s="197"/>
      <c r="U53" s="197"/>
      <c r="AA53" s="68"/>
    </row>
    <row r="54" spans="1:30" ht="12" customHeight="1" x14ac:dyDescent="0.2">
      <c r="A54" s="445" t="s">
        <v>140</v>
      </c>
      <c r="B54" s="294"/>
      <c r="C54" s="609">
        <v>83.8</v>
      </c>
      <c r="D54" s="609">
        <v>70.099999999999994</v>
      </c>
      <c r="E54" s="609">
        <v>76.400000000000006</v>
      </c>
      <c r="F54" s="609">
        <v>89.6</v>
      </c>
      <c r="G54" s="609">
        <v>67.400000000000006</v>
      </c>
      <c r="H54" s="613">
        <v>71.099999999999994</v>
      </c>
      <c r="I54" s="613">
        <v>70.099999999999994</v>
      </c>
      <c r="J54" s="613">
        <v>80.8</v>
      </c>
      <c r="K54" s="613">
        <v>59.5</v>
      </c>
      <c r="L54" s="613">
        <v>73.900000000000006</v>
      </c>
      <c r="M54" s="614">
        <v>35.1</v>
      </c>
      <c r="N54" s="615"/>
      <c r="O54" s="613">
        <f>0.5+34.6</f>
        <v>35.1</v>
      </c>
      <c r="P54" s="613">
        <f>0.4+71.3</f>
        <v>71.7</v>
      </c>
      <c r="Q54" s="641">
        <f t="shared" si="9"/>
        <v>36.6</v>
      </c>
      <c r="R54" s="648">
        <f t="shared" si="2"/>
        <v>104.27350427350429</v>
      </c>
      <c r="S54" s="197"/>
      <c r="U54" s="197"/>
      <c r="AA54" s="68"/>
    </row>
    <row r="55" spans="1:30" ht="12" customHeight="1" x14ac:dyDescent="0.2">
      <c r="A55" s="445" t="s">
        <v>141</v>
      </c>
      <c r="B55" s="294"/>
      <c r="C55" s="609">
        <v>77.599999999999994</v>
      </c>
      <c r="D55" s="609">
        <v>81.5</v>
      </c>
      <c r="E55" s="609">
        <v>75.3</v>
      </c>
      <c r="F55" s="609">
        <v>113.1</v>
      </c>
      <c r="G55" s="609">
        <v>118.6</v>
      </c>
      <c r="H55" s="613">
        <v>105.4</v>
      </c>
      <c r="I55" s="613">
        <v>103</v>
      </c>
      <c r="J55" s="613">
        <v>99.5</v>
      </c>
      <c r="K55" s="613">
        <v>80.2</v>
      </c>
      <c r="L55" s="613">
        <v>131.80000000000001</v>
      </c>
      <c r="M55" s="614">
        <v>82.1</v>
      </c>
      <c r="N55" s="615"/>
      <c r="O55" s="613">
        <f>10.6+71.4</f>
        <v>82</v>
      </c>
      <c r="P55" s="613">
        <f>14.1+94</f>
        <v>108.1</v>
      </c>
      <c r="Q55" s="641">
        <f t="shared" si="9"/>
        <v>26.099999999999994</v>
      </c>
      <c r="R55" s="648">
        <f t="shared" si="2"/>
        <v>31.829268292682922</v>
      </c>
      <c r="S55" s="197"/>
      <c r="U55" s="197"/>
      <c r="AA55" s="68"/>
    </row>
    <row r="56" spans="1:30" ht="12" customHeight="1" x14ac:dyDescent="0.2">
      <c r="A56" s="445" t="s">
        <v>142</v>
      </c>
      <c r="B56" s="294"/>
      <c r="C56" s="609">
        <v>342</v>
      </c>
      <c r="D56" s="609">
        <v>323.89999999999998</v>
      </c>
      <c r="E56" s="609">
        <v>362.1</v>
      </c>
      <c r="F56" s="609">
        <v>403</v>
      </c>
      <c r="G56" s="609">
        <v>423.7</v>
      </c>
      <c r="H56" s="613">
        <v>421</v>
      </c>
      <c r="I56" s="613">
        <v>418.3</v>
      </c>
      <c r="J56" s="613">
        <v>462.1</v>
      </c>
      <c r="K56" s="613">
        <v>419.3</v>
      </c>
      <c r="L56" s="613">
        <v>462.4</v>
      </c>
      <c r="M56" s="614">
        <v>324.7</v>
      </c>
      <c r="N56" s="615"/>
      <c r="O56" s="613">
        <f>15.3+280.7</f>
        <v>296</v>
      </c>
      <c r="P56" s="613">
        <f>30.1+315.6</f>
        <v>345.70000000000005</v>
      </c>
      <c r="Q56" s="641">
        <f t="shared" si="9"/>
        <v>49.700000000000045</v>
      </c>
      <c r="R56" s="648">
        <f t="shared" si="2"/>
        <v>16.790540540540555</v>
      </c>
      <c r="S56" s="197"/>
      <c r="U56" s="197"/>
      <c r="AA56" s="68"/>
    </row>
    <row r="57" spans="1:30" ht="12" customHeight="1" x14ac:dyDescent="0.2">
      <c r="A57" s="445" t="s">
        <v>143</v>
      </c>
      <c r="B57" s="294"/>
      <c r="C57" s="609">
        <v>122.4</v>
      </c>
      <c r="D57" s="609">
        <v>142.4</v>
      </c>
      <c r="E57" s="609">
        <v>132</v>
      </c>
      <c r="F57" s="609">
        <v>151.80000000000001</v>
      </c>
      <c r="G57" s="609">
        <v>152.19999999999999</v>
      </c>
      <c r="H57" s="613">
        <v>161.5</v>
      </c>
      <c r="I57" s="613">
        <v>160.1</v>
      </c>
      <c r="J57" s="613">
        <v>197.3</v>
      </c>
      <c r="K57" s="613">
        <v>156.80000000000001</v>
      </c>
      <c r="L57" s="613">
        <v>156.1</v>
      </c>
      <c r="M57" s="614">
        <v>159.69999999999999</v>
      </c>
      <c r="N57" s="615"/>
      <c r="O57" s="613">
        <f>25+135</f>
        <v>160</v>
      </c>
      <c r="P57" s="613">
        <f>52.6+157</f>
        <v>209.6</v>
      </c>
      <c r="Q57" s="641">
        <f t="shared" si="9"/>
        <v>49.599999999999994</v>
      </c>
      <c r="R57" s="648">
        <f t="shared" si="2"/>
        <v>30.999999999999993</v>
      </c>
      <c r="S57" s="197"/>
      <c r="U57" s="197"/>
      <c r="AA57" s="68"/>
    </row>
    <row r="58" spans="1:30" ht="12" customHeight="1" x14ac:dyDescent="0.2">
      <c r="A58" s="445" t="s">
        <v>144</v>
      </c>
      <c r="B58" s="294"/>
      <c r="C58" s="613">
        <v>1.2</v>
      </c>
      <c r="D58" s="613">
        <v>1.2</v>
      </c>
      <c r="E58" s="613">
        <v>1.2</v>
      </c>
      <c r="F58" s="613">
        <v>1.2</v>
      </c>
      <c r="G58" s="613">
        <v>0.04</v>
      </c>
      <c r="H58" s="613">
        <v>0.7</v>
      </c>
      <c r="I58" s="613">
        <v>0.5</v>
      </c>
      <c r="J58" s="613">
        <v>0.4</v>
      </c>
      <c r="K58" s="613">
        <v>0.5</v>
      </c>
      <c r="L58" s="613">
        <v>0.4</v>
      </c>
      <c r="M58" s="614">
        <v>0.4</v>
      </c>
      <c r="N58" s="615"/>
      <c r="O58" s="613">
        <v>0.3</v>
      </c>
      <c r="P58" s="613">
        <v>0.3</v>
      </c>
      <c r="Q58" s="641">
        <f t="shared" si="9"/>
        <v>0</v>
      </c>
      <c r="R58" s="648">
        <f t="shared" si="2"/>
        <v>0</v>
      </c>
      <c r="S58" s="197"/>
      <c r="U58" s="197"/>
      <c r="AA58" s="68"/>
    </row>
    <row r="59" spans="1:30" ht="12" customHeight="1" x14ac:dyDescent="0.2">
      <c r="A59" s="445" t="s">
        <v>145</v>
      </c>
      <c r="B59" s="294"/>
      <c r="C59" s="613">
        <v>2.9</v>
      </c>
      <c r="D59" s="613">
        <v>1.6</v>
      </c>
      <c r="E59" s="613">
        <v>0.5</v>
      </c>
      <c r="F59" s="613">
        <v>0.7</v>
      </c>
      <c r="G59" s="613">
        <v>0.7</v>
      </c>
      <c r="H59" s="613">
        <v>0.8</v>
      </c>
      <c r="I59" s="613">
        <v>0.9</v>
      </c>
      <c r="J59" s="613">
        <v>0.9</v>
      </c>
      <c r="K59" s="613">
        <v>0.7</v>
      </c>
      <c r="L59" s="613">
        <v>0.7</v>
      </c>
      <c r="M59" s="614">
        <v>0.5</v>
      </c>
      <c r="N59" s="615"/>
      <c r="O59" s="613">
        <v>0.5</v>
      </c>
      <c r="P59" s="613">
        <f>0.1+0.5</f>
        <v>0.6</v>
      </c>
      <c r="Q59" s="641">
        <f t="shared" si="9"/>
        <v>9.9999999999999978E-2</v>
      </c>
      <c r="R59" s="648">
        <f t="shared" si="2"/>
        <v>19.999999999999996</v>
      </c>
      <c r="S59" s="197"/>
      <c r="U59" s="197"/>
      <c r="AA59" s="68"/>
    </row>
    <row r="60" spans="1:30" ht="12" customHeight="1" x14ac:dyDescent="0.2">
      <c r="A60" s="445" t="s">
        <v>146</v>
      </c>
      <c r="B60" s="294"/>
      <c r="C60" s="609">
        <v>749.5</v>
      </c>
      <c r="D60" s="609">
        <v>690.7</v>
      </c>
      <c r="E60" s="609">
        <v>716.7</v>
      </c>
      <c r="F60" s="609">
        <v>618.70000000000005</v>
      </c>
      <c r="G60" s="609">
        <v>709.3</v>
      </c>
      <c r="H60" s="613">
        <v>695.9</v>
      </c>
      <c r="I60" s="613">
        <v>759.1</v>
      </c>
      <c r="J60" s="613">
        <v>698.3</v>
      </c>
      <c r="K60" s="613">
        <v>816.3</v>
      </c>
      <c r="L60" s="613">
        <v>676.6</v>
      </c>
      <c r="M60" s="614">
        <v>214.6</v>
      </c>
      <c r="N60" s="615"/>
      <c r="O60" s="613">
        <f>56.4+191.5</f>
        <v>247.9</v>
      </c>
      <c r="P60" s="613">
        <f>89.3+751.9</f>
        <v>841.19999999999993</v>
      </c>
      <c r="Q60" s="641">
        <f t="shared" si="9"/>
        <v>593.29999999999995</v>
      </c>
      <c r="R60" s="648">
        <f t="shared" si="2"/>
        <v>239.33037515127066</v>
      </c>
      <c r="S60" s="197"/>
      <c r="U60" s="197"/>
      <c r="AA60" s="68"/>
    </row>
    <row r="61" spans="1:30" ht="12" customHeight="1" x14ac:dyDescent="0.2">
      <c r="A61" s="445" t="s">
        <v>147</v>
      </c>
      <c r="B61" s="294"/>
      <c r="C61" s="613">
        <v>4.7</v>
      </c>
      <c r="D61" s="613">
        <v>4.5999999999999996</v>
      </c>
      <c r="E61" s="613">
        <v>4.3</v>
      </c>
      <c r="F61" s="613">
        <v>4.0999999999999996</v>
      </c>
      <c r="G61" s="613">
        <v>2.9</v>
      </c>
      <c r="H61" s="613">
        <v>2.9</v>
      </c>
      <c r="I61" s="613">
        <v>2.9</v>
      </c>
      <c r="J61" s="613">
        <v>2.2999999999999998</v>
      </c>
      <c r="K61" s="613">
        <v>2</v>
      </c>
      <c r="L61" s="613">
        <v>2</v>
      </c>
      <c r="M61" s="614">
        <v>1.7</v>
      </c>
      <c r="N61" s="615"/>
      <c r="O61" s="613">
        <f>0.1+1.6</f>
        <v>1.7000000000000002</v>
      </c>
      <c r="P61" s="613">
        <f>1.4</f>
        <v>1.4</v>
      </c>
      <c r="Q61" s="641">
        <f t="shared" si="9"/>
        <v>-0.30000000000000027</v>
      </c>
      <c r="R61" s="648">
        <f t="shared" si="2"/>
        <v>-17.647058823529427</v>
      </c>
      <c r="S61" s="197"/>
      <c r="U61" s="197"/>
      <c r="AA61" s="68"/>
    </row>
    <row r="62" spans="1:30" ht="12" customHeight="1" x14ac:dyDescent="0.2">
      <c r="A62" s="445" t="s">
        <v>148</v>
      </c>
      <c r="B62" s="294"/>
      <c r="C62" s="625">
        <v>39.9</v>
      </c>
      <c r="D62" s="625">
        <v>10.3</v>
      </c>
      <c r="E62" s="625">
        <v>2</v>
      </c>
      <c r="F62" s="625">
        <v>0</v>
      </c>
      <c r="G62" s="625">
        <v>6.1</v>
      </c>
      <c r="H62" s="613">
        <v>10</v>
      </c>
      <c r="I62" s="613">
        <v>74.900000000000006</v>
      </c>
      <c r="J62" s="613">
        <v>87</v>
      </c>
      <c r="K62" s="613">
        <v>96.5</v>
      </c>
      <c r="L62" s="613">
        <v>82.3</v>
      </c>
      <c r="M62" s="614">
        <v>74.5</v>
      </c>
      <c r="N62" s="615"/>
      <c r="O62" s="613">
        <f>25+49.5</f>
        <v>74.5</v>
      </c>
      <c r="P62" s="613">
        <f>10.4+125.9</f>
        <v>136.30000000000001</v>
      </c>
      <c r="Q62" s="641">
        <f t="shared" si="9"/>
        <v>61.800000000000011</v>
      </c>
      <c r="R62" s="648">
        <f t="shared" si="2"/>
        <v>82.953020134228211</v>
      </c>
      <c r="S62" s="197"/>
      <c r="T62" s="67"/>
      <c r="U62" s="197"/>
      <c r="AA62" s="75"/>
      <c r="AC62" s="75"/>
      <c r="AD62" s="75"/>
    </row>
    <row r="63" spans="1:30" ht="12" customHeight="1" x14ac:dyDescent="0.2">
      <c r="A63" s="445" t="s">
        <v>149</v>
      </c>
      <c r="B63" s="294"/>
      <c r="C63" s="613">
        <v>39.299999999999997</v>
      </c>
      <c r="D63" s="613">
        <v>24.1</v>
      </c>
      <c r="E63" s="613">
        <v>45.8</v>
      </c>
      <c r="F63" s="613">
        <v>67.8</v>
      </c>
      <c r="G63" s="613">
        <v>65.5</v>
      </c>
      <c r="H63" s="613">
        <v>40.6</v>
      </c>
      <c r="I63" s="613">
        <v>53.8</v>
      </c>
      <c r="J63" s="613">
        <v>19.399999999999999</v>
      </c>
      <c r="K63" s="613">
        <v>15.5</v>
      </c>
      <c r="L63" s="613">
        <v>66.099999999999994</v>
      </c>
      <c r="M63" s="614">
        <f>29.6+27.8</f>
        <v>57.400000000000006</v>
      </c>
      <c r="N63" s="615"/>
      <c r="O63" s="613">
        <f>0+57.4</f>
        <v>57.4</v>
      </c>
      <c r="P63" s="613">
        <f>53+43.5</f>
        <v>96.5</v>
      </c>
      <c r="Q63" s="641">
        <f t="shared" si="9"/>
        <v>39.1</v>
      </c>
      <c r="R63" s="648">
        <f t="shared" si="2"/>
        <v>68.118466898954708</v>
      </c>
      <c r="S63" s="197"/>
      <c r="U63" s="197"/>
      <c r="AA63" s="68"/>
    </row>
    <row r="64" spans="1:30" ht="12" customHeight="1" x14ac:dyDescent="0.2">
      <c r="A64" s="445" t="s">
        <v>150</v>
      </c>
      <c r="B64" s="294"/>
      <c r="C64" s="621">
        <v>262.5</v>
      </c>
      <c r="D64" s="621">
        <v>98.9</v>
      </c>
      <c r="E64" s="621">
        <v>223.9</v>
      </c>
      <c r="F64" s="621">
        <v>287.7</v>
      </c>
      <c r="G64" s="621">
        <v>318.89999999999998</v>
      </c>
      <c r="H64" s="613">
        <v>137.6</v>
      </c>
      <c r="I64" s="613">
        <v>31.8</v>
      </c>
      <c r="J64" s="613">
        <v>54.6</v>
      </c>
      <c r="K64" s="613">
        <v>297.10000000000002</v>
      </c>
      <c r="L64" s="613">
        <v>27.5</v>
      </c>
      <c r="M64" s="614">
        <v>4.3</v>
      </c>
      <c r="N64" s="615"/>
      <c r="O64" s="613">
        <f>5.5+4.3</f>
        <v>9.8000000000000007</v>
      </c>
      <c r="P64" s="613">
        <f>9+211.5</f>
        <v>220.5</v>
      </c>
      <c r="Q64" s="641">
        <f t="shared" si="9"/>
        <v>210.7</v>
      </c>
      <c r="R64" s="648">
        <f t="shared" si="2"/>
        <v>2149.9999999999995</v>
      </c>
      <c r="S64" s="197"/>
      <c r="T64" s="67"/>
      <c r="U64" s="197"/>
      <c r="AA64" s="75"/>
      <c r="AC64" s="75"/>
      <c r="AD64" s="75"/>
    </row>
    <row r="65" spans="1:34" ht="12" customHeight="1" x14ac:dyDescent="0.2">
      <c r="A65" s="445" t="s">
        <v>151</v>
      </c>
      <c r="B65" s="294"/>
      <c r="C65" s="626">
        <v>5.7999999999997272</v>
      </c>
      <c r="D65" s="626">
        <v>7.3000000000001819</v>
      </c>
      <c r="E65" s="626">
        <v>7.1999999999998181</v>
      </c>
      <c r="F65" s="626">
        <v>3.2999999999997272</v>
      </c>
      <c r="G65" s="626">
        <f t="shared" ref="G65:K65" si="10">G47-SUM(G48:G64)</f>
        <v>3.7599999999997635</v>
      </c>
      <c r="H65" s="627">
        <f t="shared" si="10"/>
        <v>1.7000000000002728</v>
      </c>
      <c r="I65" s="627">
        <f t="shared" si="10"/>
        <v>1</v>
      </c>
      <c r="J65" s="627">
        <f t="shared" si="10"/>
        <v>0.40000000000009095</v>
      </c>
      <c r="K65" s="627">
        <f t="shared" si="10"/>
        <v>0.3000000000001819</v>
      </c>
      <c r="L65" s="627">
        <f t="shared" ref="L65" si="11">L47-SUM(L48:L64)</f>
        <v>0.5</v>
      </c>
      <c r="M65" s="628">
        <f t="shared" ref="M65" si="12">M47-SUM(M48:M64)</f>
        <v>0.39999999999986358</v>
      </c>
      <c r="N65" s="629"/>
      <c r="O65" s="627">
        <f>O47-SUM(O48:O64)+0.02</f>
        <v>0.31999999999972717</v>
      </c>
      <c r="P65" s="627">
        <f>P47-SUM(P48:P64)</f>
        <v>0.5</v>
      </c>
      <c r="Q65" s="641">
        <f t="shared" si="9"/>
        <v>0.18000000000027283</v>
      </c>
      <c r="R65" s="648">
        <f t="shared" si="2"/>
        <v>56.250000000133213</v>
      </c>
      <c r="S65" s="155"/>
      <c r="U65" s="145"/>
      <c r="AA65" s="75"/>
      <c r="AC65" s="75"/>
      <c r="AD65" s="75"/>
      <c r="AE65" s="75"/>
      <c r="AF65" s="75"/>
      <c r="AG65" s="75"/>
    </row>
    <row r="66" spans="1:34" ht="11.1" customHeight="1" x14ac:dyDescent="0.2">
      <c r="A66" s="445"/>
      <c r="B66" s="294"/>
      <c r="C66" s="609"/>
      <c r="D66" s="609"/>
      <c r="E66" s="609"/>
      <c r="F66" s="609"/>
      <c r="G66" s="609"/>
      <c r="H66" s="609"/>
      <c r="I66" s="609"/>
      <c r="J66" s="609"/>
      <c r="K66" s="609"/>
      <c r="L66" s="609"/>
      <c r="M66" s="601"/>
      <c r="N66" s="630"/>
      <c r="O66" s="609"/>
      <c r="P66" s="609"/>
      <c r="Q66" s="641"/>
      <c r="R66" s="648"/>
      <c r="AA66" s="68"/>
    </row>
    <row r="67" spans="1:34" ht="13.5" customHeight="1" x14ac:dyDescent="0.2">
      <c r="A67" s="443" t="s">
        <v>152</v>
      </c>
      <c r="B67" s="294"/>
      <c r="C67" s="609">
        <v>0</v>
      </c>
      <c r="D67" s="609">
        <v>0</v>
      </c>
      <c r="E67" s="609">
        <v>21.9</v>
      </c>
      <c r="F67" s="609">
        <v>0</v>
      </c>
      <c r="G67" s="609">
        <v>0</v>
      </c>
      <c r="H67" s="609">
        <v>0</v>
      </c>
      <c r="I67" s="609">
        <v>0</v>
      </c>
      <c r="J67" s="609">
        <v>0</v>
      </c>
      <c r="K67" s="609">
        <v>0</v>
      </c>
      <c r="L67" s="609">
        <v>0</v>
      </c>
      <c r="M67" s="601">
        <v>0</v>
      </c>
      <c r="N67" s="630"/>
      <c r="O67" s="609">
        <v>0</v>
      </c>
      <c r="P67" s="609">
        <v>0</v>
      </c>
      <c r="Q67" s="641">
        <f>P67-O67</f>
        <v>0</v>
      </c>
      <c r="R67" s="649" t="s">
        <v>306</v>
      </c>
      <c r="T67" s="67"/>
      <c r="AA67" s="68"/>
    </row>
    <row r="68" spans="1:34" ht="6.75" customHeight="1" x14ac:dyDescent="0.2">
      <c r="A68" s="445"/>
      <c r="B68" s="294"/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01"/>
      <c r="N68" s="630"/>
      <c r="O68" s="609"/>
      <c r="P68" s="609"/>
      <c r="Q68" s="641"/>
      <c r="R68" s="648"/>
      <c r="AA68" s="68"/>
    </row>
    <row r="69" spans="1:34" s="146" customFormat="1" ht="13.5" customHeight="1" thickBot="1" x14ac:dyDescent="0.25">
      <c r="A69" s="447" t="s">
        <v>102</v>
      </c>
      <c r="B69" s="448"/>
      <c r="C69" s="631">
        <v>3426.7</v>
      </c>
      <c r="D69" s="631">
        <v>3040.7</v>
      </c>
      <c r="E69" s="631">
        <v>3267</v>
      </c>
      <c r="F69" s="631">
        <v>3359.6</v>
      </c>
      <c r="G69" s="631">
        <v>3519.6</v>
      </c>
      <c r="H69" s="631">
        <v>2817.7</v>
      </c>
      <c r="I69" s="631">
        <v>3078.3</v>
      </c>
      <c r="J69" s="631">
        <v>3135.5</v>
      </c>
      <c r="K69" s="631">
        <v>3195.9</v>
      </c>
      <c r="L69" s="631">
        <v>2749.2</v>
      </c>
      <c r="M69" s="631">
        <v>1848.7</v>
      </c>
      <c r="N69" s="632"/>
      <c r="O69" s="633">
        <f>333.9+1555</f>
        <v>1888.9</v>
      </c>
      <c r="P69" s="631">
        <f>469.1+2759.6</f>
        <v>3228.7</v>
      </c>
      <c r="Q69" s="642">
        <f>P69-O69</f>
        <v>1339.7999999999997</v>
      </c>
      <c r="R69" s="650">
        <f t="shared" si="2"/>
        <v>70.9301709989941</v>
      </c>
      <c r="S69" s="299"/>
      <c r="T69" s="299"/>
      <c r="U69" s="299"/>
      <c r="V69" s="299"/>
      <c r="W69" s="299"/>
      <c r="X69" s="299"/>
      <c r="Y69" s="299"/>
      <c r="Z69" s="299"/>
      <c r="AA69" s="201"/>
      <c r="AB69" s="203"/>
      <c r="AC69" s="203"/>
      <c r="AD69" s="203"/>
      <c r="AE69" s="203"/>
      <c r="AF69" s="203"/>
      <c r="AG69" s="203"/>
      <c r="AH69" s="203"/>
    </row>
    <row r="70" spans="1:34" s="68" customFormat="1" ht="15" customHeight="1" x14ac:dyDescent="0.2">
      <c r="A70" s="721" t="s">
        <v>387</v>
      </c>
      <c r="B70" s="722"/>
      <c r="C70" s="722"/>
      <c r="D70" s="722"/>
      <c r="E70" s="722"/>
      <c r="J70" s="193"/>
      <c r="K70" s="193"/>
      <c r="L70" s="193"/>
      <c r="M70" s="73"/>
      <c r="N70" s="193"/>
      <c r="O70" s="589"/>
      <c r="P70" s="73"/>
      <c r="Q70" s="640"/>
      <c r="R70" s="640"/>
      <c r="S70" s="193"/>
      <c r="T70" s="298"/>
      <c r="U70" s="193"/>
    </row>
    <row r="71" spans="1:34" s="68" customFormat="1" ht="13.5" customHeight="1" x14ac:dyDescent="0.2">
      <c r="A71" s="297" t="s">
        <v>388</v>
      </c>
      <c r="B71" s="298"/>
      <c r="C71" s="298"/>
      <c r="D71" s="298"/>
      <c r="E71" s="298"/>
      <c r="J71" s="193"/>
      <c r="K71" s="193"/>
      <c r="L71" s="193"/>
      <c r="M71" s="73"/>
      <c r="N71" s="193"/>
      <c r="O71" s="589"/>
      <c r="P71" s="73"/>
      <c r="Q71" s="640"/>
      <c r="R71" s="640"/>
      <c r="S71" s="193"/>
      <c r="T71" s="298"/>
      <c r="U71" s="193"/>
    </row>
    <row r="72" spans="1:34" s="68" customFormat="1" ht="13.5" customHeight="1" x14ac:dyDescent="0.2">
      <c r="A72" s="297" t="s">
        <v>480</v>
      </c>
      <c r="B72" s="298"/>
      <c r="C72" s="298"/>
      <c r="D72" s="298"/>
      <c r="E72" s="298"/>
      <c r="J72" s="193"/>
      <c r="K72" s="193"/>
      <c r="L72" s="193"/>
      <c r="M72" s="73"/>
      <c r="N72" s="193"/>
      <c r="O72" s="589"/>
      <c r="P72" s="73"/>
      <c r="Q72" s="640"/>
      <c r="R72" s="640"/>
      <c r="S72" s="193"/>
      <c r="T72" s="298"/>
      <c r="U72" s="193"/>
    </row>
    <row r="73" spans="1:34" s="68" customFormat="1" ht="11.25" customHeight="1" x14ac:dyDescent="0.2">
      <c r="A73" s="68" t="s">
        <v>335</v>
      </c>
      <c r="J73" s="193"/>
      <c r="K73" s="193"/>
      <c r="L73" s="193"/>
      <c r="M73" s="73"/>
      <c r="N73" s="193"/>
      <c r="O73" s="589"/>
      <c r="P73" s="73"/>
      <c r="Q73" s="640"/>
      <c r="R73" s="640"/>
      <c r="S73" s="193"/>
      <c r="T73" s="298"/>
      <c r="U73" s="193"/>
    </row>
    <row r="74" spans="1:34" s="68" customFormat="1" ht="12" customHeight="1" x14ac:dyDescent="0.2">
      <c r="A74" s="6" t="s">
        <v>483</v>
      </c>
      <c r="J74" s="193"/>
      <c r="K74" s="193"/>
      <c r="L74" s="193"/>
      <c r="M74" s="73"/>
      <c r="N74" s="193"/>
      <c r="O74" s="589"/>
      <c r="P74" s="73"/>
      <c r="Q74" s="640"/>
      <c r="R74" s="640"/>
      <c r="S74" s="193"/>
      <c r="T74" s="298"/>
      <c r="U74" s="193"/>
    </row>
    <row r="75" spans="1:34" ht="11.1" customHeight="1" x14ac:dyDescent="0.2">
      <c r="B75" s="70"/>
      <c r="C75" s="70"/>
      <c r="D75" s="70"/>
      <c r="E75" s="70"/>
      <c r="F75" s="70"/>
      <c r="G75" s="70"/>
      <c r="H75" s="70"/>
      <c r="I75" s="70"/>
      <c r="J75" s="295"/>
      <c r="K75" s="295"/>
      <c r="L75" s="295"/>
      <c r="M75" s="73"/>
      <c r="N75" s="295"/>
      <c r="O75" s="589"/>
      <c r="P75" s="73"/>
      <c r="AA75" s="68"/>
    </row>
    <row r="76" spans="1:34" x14ac:dyDescent="0.2">
      <c r="B76" s="70"/>
      <c r="C76" s="70"/>
      <c r="D76" s="70"/>
      <c r="E76" s="70"/>
      <c r="F76" s="70"/>
      <c r="G76" s="70"/>
      <c r="H76" s="70"/>
      <c r="I76" s="70"/>
      <c r="J76" s="295"/>
      <c r="K76" s="295"/>
      <c r="L76" s="295"/>
      <c r="M76" s="73"/>
      <c r="N76" s="295"/>
      <c r="O76" s="589"/>
      <c r="P76" s="73"/>
    </row>
    <row r="77" spans="1:34" x14ac:dyDescent="0.2">
      <c r="B77" s="70"/>
      <c r="C77" s="70"/>
      <c r="D77" s="70"/>
      <c r="E77" s="70"/>
      <c r="F77" s="70"/>
      <c r="G77" s="70"/>
      <c r="H77" s="70"/>
      <c r="I77" s="70"/>
      <c r="J77" s="295"/>
      <c r="K77" s="295"/>
      <c r="L77" s="295"/>
      <c r="M77" s="73"/>
      <c r="N77" s="295"/>
      <c r="O77" s="589"/>
      <c r="P77" s="73"/>
      <c r="AA77" s="68"/>
    </row>
    <row r="78" spans="1:34" x14ac:dyDescent="0.2">
      <c r="B78" s="70"/>
      <c r="C78" s="70"/>
      <c r="D78" s="70"/>
      <c r="E78" s="70"/>
      <c r="F78" s="70"/>
      <c r="G78" s="70"/>
      <c r="H78" s="70"/>
      <c r="I78" s="70"/>
      <c r="J78" s="295"/>
      <c r="K78" s="295"/>
      <c r="L78" s="295"/>
      <c r="M78" s="73"/>
      <c r="N78" s="295"/>
      <c r="O78" s="589"/>
      <c r="P78" s="73"/>
    </row>
    <row r="79" spans="1:34" x14ac:dyDescent="0.2">
      <c r="B79" s="70"/>
      <c r="C79" s="70"/>
      <c r="D79" s="70"/>
      <c r="E79" s="70"/>
      <c r="F79" s="70"/>
      <c r="G79" s="70"/>
      <c r="H79" s="70"/>
      <c r="I79" s="70"/>
      <c r="J79" s="295"/>
      <c r="K79" s="295"/>
      <c r="L79" s="295"/>
      <c r="M79" s="73"/>
      <c r="N79" s="295"/>
      <c r="O79" s="589"/>
      <c r="P79" s="73"/>
    </row>
    <row r="80" spans="1:34" x14ac:dyDescent="0.2">
      <c r="B80" s="70"/>
      <c r="C80" s="70"/>
      <c r="D80" s="70"/>
      <c r="E80" s="70"/>
      <c r="F80" s="70"/>
      <c r="G80" s="70"/>
      <c r="H80" s="70"/>
      <c r="I80" s="70"/>
      <c r="J80" s="295"/>
      <c r="K80" s="295"/>
      <c r="L80" s="295"/>
      <c r="M80" s="73"/>
      <c r="N80" s="295"/>
      <c r="O80" s="589"/>
      <c r="P80" s="73"/>
    </row>
    <row r="81" spans="2:26" x14ac:dyDescent="0.2">
      <c r="B81" s="70"/>
      <c r="C81" s="70"/>
      <c r="D81" s="70"/>
      <c r="E81" s="70"/>
      <c r="F81" s="70"/>
      <c r="G81" s="70"/>
      <c r="H81" s="70"/>
      <c r="I81" s="70"/>
      <c r="J81" s="295"/>
      <c r="K81" s="295"/>
      <c r="L81" s="295"/>
      <c r="M81" s="73"/>
      <c r="N81" s="295"/>
      <c r="O81" s="589"/>
      <c r="P81" s="73"/>
    </row>
    <row r="82" spans="2:26" x14ac:dyDescent="0.2">
      <c r="B82" s="70"/>
      <c r="C82" s="70"/>
      <c r="D82" s="70"/>
      <c r="E82" s="70"/>
      <c r="F82" s="70"/>
      <c r="G82" s="70"/>
      <c r="H82" s="70"/>
      <c r="I82" s="70"/>
      <c r="J82" s="295"/>
      <c r="K82" s="295"/>
      <c r="L82" s="295"/>
      <c r="M82" s="73"/>
      <c r="N82" s="295"/>
      <c r="O82" s="589"/>
      <c r="P82" s="73"/>
    </row>
    <row r="83" spans="2:26" x14ac:dyDescent="0.2">
      <c r="B83" s="70"/>
      <c r="C83" s="70"/>
      <c r="D83" s="70"/>
      <c r="E83" s="70"/>
      <c r="F83" s="70"/>
      <c r="G83" s="70"/>
      <c r="H83" s="70"/>
      <c r="I83" s="70"/>
      <c r="J83" s="295"/>
      <c r="K83" s="295"/>
      <c r="L83" s="295"/>
      <c r="M83" s="73"/>
      <c r="N83" s="295"/>
      <c r="O83" s="589"/>
      <c r="P83" s="73"/>
    </row>
    <row r="84" spans="2:26" x14ac:dyDescent="0.2">
      <c r="B84" s="70"/>
      <c r="C84" s="70"/>
      <c r="D84" s="70"/>
      <c r="E84" s="70"/>
      <c r="F84" s="70"/>
      <c r="G84" s="70"/>
      <c r="H84" s="70"/>
      <c r="I84" s="70"/>
      <c r="J84" s="295"/>
      <c r="K84" s="295"/>
      <c r="L84" s="295"/>
      <c r="M84" s="73"/>
      <c r="N84" s="295"/>
      <c r="O84" s="589"/>
      <c r="P84" s="73"/>
    </row>
    <row r="85" spans="2:26" x14ac:dyDescent="0.2">
      <c r="B85" s="70"/>
      <c r="C85" s="70"/>
      <c r="D85" s="70"/>
      <c r="E85" s="70"/>
      <c r="F85" s="70"/>
      <c r="G85" s="70"/>
      <c r="H85" s="70"/>
      <c r="I85" s="70"/>
      <c r="J85" s="295"/>
      <c r="K85" s="295"/>
      <c r="L85" s="295"/>
      <c r="M85" s="73"/>
      <c r="N85" s="295"/>
      <c r="O85" s="589"/>
      <c r="P85" s="73"/>
    </row>
    <row r="86" spans="2:26" x14ac:dyDescent="0.2">
      <c r="B86" s="70"/>
      <c r="C86" s="70"/>
      <c r="D86" s="70"/>
      <c r="E86" s="70"/>
      <c r="F86" s="70"/>
      <c r="G86" s="70"/>
      <c r="H86" s="70"/>
      <c r="I86" s="70"/>
      <c r="J86" s="295"/>
      <c r="K86" s="295"/>
      <c r="L86" s="295"/>
      <c r="M86" s="73"/>
      <c r="N86" s="295"/>
      <c r="O86" s="589"/>
      <c r="P86" s="73"/>
    </row>
    <row r="87" spans="2:26" x14ac:dyDescent="0.2">
      <c r="B87" s="70"/>
      <c r="C87" s="70"/>
      <c r="D87" s="70"/>
      <c r="E87" s="70"/>
      <c r="F87" s="70"/>
      <c r="G87" s="70"/>
      <c r="H87" s="70"/>
      <c r="I87" s="70"/>
      <c r="J87" s="295"/>
      <c r="K87" s="295"/>
      <c r="L87" s="295"/>
      <c r="N87" s="295"/>
      <c r="O87" s="588"/>
      <c r="V87" s="82"/>
      <c r="W87" s="82"/>
      <c r="X87" s="82"/>
      <c r="Y87" s="82"/>
      <c r="Z87" s="82"/>
    </row>
    <row r="88" spans="2:26" x14ac:dyDescent="0.2">
      <c r="B88" s="70"/>
      <c r="C88" s="70"/>
      <c r="D88" s="70"/>
      <c r="E88" s="70"/>
      <c r="F88" s="70"/>
      <c r="G88" s="70"/>
      <c r="H88" s="70"/>
      <c r="I88" s="70"/>
      <c r="J88" s="295"/>
      <c r="K88" s="295"/>
      <c r="L88" s="295"/>
      <c r="N88" s="295"/>
      <c r="O88" s="588"/>
      <c r="V88" s="82"/>
      <c r="W88" s="82"/>
      <c r="X88" s="82"/>
      <c r="Y88" s="82"/>
      <c r="Z88" s="82"/>
    </row>
    <row r="89" spans="2:26" x14ac:dyDescent="0.2">
      <c r="B89" s="70"/>
      <c r="C89" s="70"/>
      <c r="D89" s="70"/>
      <c r="E89" s="70"/>
      <c r="F89" s="70"/>
      <c r="G89" s="70"/>
      <c r="H89" s="70"/>
      <c r="I89" s="70"/>
      <c r="J89" s="295"/>
      <c r="K89" s="295"/>
      <c r="L89" s="295"/>
      <c r="N89" s="295"/>
      <c r="O89" s="588"/>
    </row>
    <row r="90" spans="2:26" x14ac:dyDescent="0.2">
      <c r="B90" s="70"/>
      <c r="C90" s="70"/>
      <c r="D90" s="70"/>
      <c r="E90" s="70"/>
      <c r="F90" s="70"/>
      <c r="G90" s="70"/>
      <c r="H90" s="70"/>
      <c r="I90" s="70"/>
      <c r="J90" s="295"/>
      <c r="K90" s="295"/>
      <c r="L90" s="295"/>
      <c r="N90" s="295"/>
      <c r="O90" s="588"/>
    </row>
    <row r="91" spans="2:26" x14ac:dyDescent="0.2">
      <c r="B91" s="70"/>
      <c r="C91" s="70"/>
      <c r="D91" s="70"/>
      <c r="E91" s="70"/>
      <c r="F91" s="70"/>
      <c r="G91" s="70"/>
      <c r="H91" s="70"/>
      <c r="I91" s="70"/>
      <c r="J91" s="295"/>
      <c r="K91" s="295"/>
      <c r="L91" s="295"/>
      <c r="N91" s="295"/>
      <c r="O91" s="588"/>
    </row>
    <row r="92" spans="2:26" x14ac:dyDescent="0.2">
      <c r="B92" s="70"/>
      <c r="C92" s="70"/>
      <c r="D92" s="70"/>
      <c r="E92" s="70"/>
      <c r="F92" s="70"/>
      <c r="G92" s="70"/>
      <c r="H92" s="70"/>
      <c r="I92" s="70"/>
      <c r="J92" s="295"/>
      <c r="K92" s="295"/>
      <c r="L92" s="295"/>
      <c r="N92" s="295"/>
      <c r="O92" s="588"/>
    </row>
    <row r="93" spans="2:26" x14ac:dyDescent="0.2">
      <c r="B93" s="70"/>
      <c r="C93" s="70"/>
      <c r="D93" s="70"/>
      <c r="E93" s="70"/>
      <c r="F93" s="70"/>
      <c r="G93" s="70"/>
      <c r="H93" s="70"/>
      <c r="I93" s="70"/>
      <c r="J93" s="295"/>
      <c r="K93" s="295"/>
      <c r="L93" s="295"/>
      <c r="N93" s="295"/>
      <c r="O93" s="588"/>
    </row>
    <row r="94" spans="2:26" x14ac:dyDescent="0.2">
      <c r="B94" s="296"/>
      <c r="C94" s="296"/>
      <c r="D94" s="296"/>
      <c r="E94" s="296"/>
      <c r="F94" s="296"/>
      <c r="G94" s="296"/>
      <c r="H94" s="296"/>
      <c r="I94" s="296"/>
      <c r="J94" s="295"/>
      <c r="K94" s="295"/>
      <c r="L94" s="295"/>
      <c r="N94" s="295"/>
      <c r="O94" s="588"/>
    </row>
    <row r="95" spans="2:26" x14ac:dyDescent="0.2">
      <c r="B95" s="70"/>
      <c r="C95" s="70"/>
      <c r="D95" s="70"/>
      <c r="E95" s="70"/>
      <c r="F95" s="70"/>
      <c r="G95" s="70"/>
      <c r="H95" s="70"/>
      <c r="I95" s="70"/>
      <c r="J95" s="295"/>
      <c r="K95" s="295"/>
      <c r="L95" s="295"/>
      <c r="N95" s="295"/>
      <c r="O95" s="588"/>
    </row>
    <row r="96" spans="2:26" x14ac:dyDescent="0.2">
      <c r="B96" s="70"/>
      <c r="C96" s="70"/>
      <c r="D96" s="70"/>
      <c r="E96" s="70"/>
      <c r="F96" s="70"/>
      <c r="G96" s="70"/>
      <c r="H96" s="70"/>
      <c r="I96" s="70"/>
      <c r="J96" s="295"/>
      <c r="K96" s="295"/>
      <c r="L96" s="295"/>
      <c r="N96" s="295"/>
      <c r="O96" s="588"/>
    </row>
    <row r="97" spans="2:15" x14ac:dyDescent="0.2">
      <c r="B97" s="70"/>
      <c r="C97" s="70"/>
      <c r="D97" s="70"/>
      <c r="E97" s="70"/>
      <c r="F97" s="70"/>
      <c r="G97" s="70"/>
      <c r="H97" s="70"/>
      <c r="I97" s="70"/>
      <c r="J97" s="295"/>
      <c r="K97" s="295"/>
      <c r="L97" s="295"/>
      <c r="N97" s="295"/>
      <c r="O97" s="588"/>
    </row>
    <row r="98" spans="2:15" x14ac:dyDescent="0.2">
      <c r="B98" s="70"/>
      <c r="C98" s="70"/>
      <c r="D98" s="70"/>
      <c r="E98" s="70"/>
      <c r="F98" s="70"/>
      <c r="G98" s="70"/>
      <c r="H98" s="70"/>
      <c r="I98" s="70"/>
      <c r="J98" s="295"/>
      <c r="K98" s="295"/>
      <c r="L98" s="295"/>
      <c r="N98" s="295"/>
      <c r="O98" s="588"/>
    </row>
    <row r="99" spans="2:15" x14ac:dyDescent="0.2">
      <c r="B99" s="70"/>
      <c r="C99" s="70"/>
      <c r="D99" s="70"/>
      <c r="E99" s="70"/>
      <c r="F99" s="70"/>
      <c r="G99" s="70"/>
      <c r="H99" s="70"/>
      <c r="I99" s="70"/>
      <c r="J99" s="295"/>
      <c r="K99" s="295"/>
      <c r="L99" s="295"/>
      <c r="N99" s="295"/>
      <c r="O99" s="588"/>
    </row>
    <row r="100" spans="2:15" x14ac:dyDescent="0.2">
      <c r="B100" s="70"/>
      <c r="C100" s="70"/>
      <c r="D100" s="70"/>
      <c r="E100" s="70"/>
      <c r="F100" s="70"/>
      <c r="G100" s="70"/>
      <c r="H100" s="70"/>
      <c r="I100" s="70"/>
      <c r="J100" s="295"/>
      <c r="K100" s="295"/>
      <c r="L100" s="295"/>
      <c r="N100" s="295"/>
      <c r="O100" s="588"/>
    </row>
    <row r="101" spans="2:15" x14ac:dyDescent="0.2">
      <c r="B101" s="70"/>
      <c r="C101" s="70"/>
      <c r="D101" s="70"/>
      <c r="E101" s="70"/>
      <c r="F101" s="70"/>
      <c r="G101" s="70"/>
      <c r="H101" s="70"/>
      <c r="I101" s="70"/>
      <c r="J101" s="295"/>
      <c r="K101" s="295"/>
      <c r="L101" s="295"/>
      <c r="N101" s="295"/>
      <c r="O101" s="588"/>
    </row>
    <row r="102" spans="2:15" x14ac:dyDescent="0.2">
      <c r="B102" s="70"/>
      <c r="C102" s="70"/>
      <c r="D102" s="70"/>
      <c r="E102" s="70"/>
      <c r="F102" s="70"/>
      <c r="G102" s="70"/>
      <c r="H102" s="70"/>
      <c r="I102" s="70"/>
      <c r="J102" s="295"/>
      <c r="K102" s="295"/>
      <c r="L102" s="295"/>
      <c r="N102" s="295"/>
      <c r="O102" s="588"/>
    </row>
    <row r="103" spans="2:15" x14ac:dyDescent="0.2">
      <c r="J103" s="143"/>
      <c r="K103" s="143"/>
      <c r="L103" s="143"/>
      <c r="N103" s="143"/>
    </row>
    <row r="104" spans="2:15" x14ac:dyDescent="0.2">
      <c r="J104" s="143"/>
      <c r="K104" s="143"/>
      <c r="L104" s="143"/>
      <c r="N104" s="143"/>
    </row>
    <row r="105" spans="2:15" x14ac:dyDescent="0.2">
      <c r="J105" s="143"/>
      <c r="K105" s="143"/>
      <c r="L105" s="143"/>
      <c r="N105" s="143"/>
    </row>
    <row r="106" spans="2:15" x14ac:dyDescent="0.2">
      <c r="J106" s="143"/>
      <c r="K106" s="143"/>
      <c r="L106" s="143"/>
      <c r="N106" s="143"/>
    </row>
    <row r="107" spans="2:15" x14ac:dyDescent="0.2">
      <c r="J107" s="143"/>
      <c r="K107" s="143"/>
      <c r="L107" s="143"/>
      <c r="N107" s="143"/>
    </row>
    <row r="108" spans="2:15" x14ac:dyDescent="0.2">
      <c r="J108" s="143"/>
      <c r="K108" s="143"/>
      <c r="L108" s="143"/>
      <c r="N108" s="143"/>
    </row>
    <row r="109" spans="2:15" x14ac:dyDescent="0.2">
      <c r="J109" s="143"/>
      <c r="K109" s="143"/>
      <c r="L109" s="143"/>
      <c r="N109" s="143"/>
    </row>
    <row r="110" spans="2:15" x14ac:dyDescent="0.2">
      <c r="J110" s="143"/>
      <c r="K110" s="143"/>
      <c r="L110" s="143"/>
      <c r="N110" s="143"/>
    </row>
    <row r="111" spans="2:15" x14ac:dyDescent="0.2">
      <c r="J111" s="143"/>
      <c r="K111" s="143"/>
      <c r="L111" s="143"/>
      <c r="N111" s="143"/>
    </row>
    <row r="112" spans="2:15" x14ac:dyDescent="0.2">
      <c r="J112" s="143"/>
      <c r="K112" s="143"/>
      <c r="L112" s="143"/>
      <c r="N112" s="143"/>
    </row>
    <row r="113" spans="10:14" x14ac:dyDescent="0.2">
      <c r="J113" s="143"/>
      <c r="K113" s="143"/>
      <c r="L113" s="143"/>
      <c r="N113" s="143"/>
    </row>
    <row r="114" spans="10:14" x14ac:dyDescent="0.2">
      <c r="J114" s="143"/>
      <c r="K114" s="143"/>
      <c r="L114" s="143"/>
      <c r="N114" s="143"/>
    </row>
    <row r="115" spans="10:14" x14ac:dyDescent="0.2">
      <c r="J115" s="143"/>
      <c r="K115" s="143"/>
      <c r="L115" s="143"/>
      <c r="N115" s="143"/>
    </row>
    <row r="116" spans="10:14" x14ac:dyDescent="0.2">
      <c r="J116" s="143"/>
      <c r="K116" s="143"/>
      <c r="L116" s="143"/>
      <c r="N116" s="143"/>
    </row>
    <row r="117" spans="10:14" x14ac:dyDescent="0.2">
      <c r="J117" s="143"/>
      <c r="K117" s="143"/>
      <c r="L117" s="143"/>
      <c r="N117" s="143"/>
    </row>
    <row r="118" spans="10:14" x14ac:dyDescent="0.2">
      <c r="J118" s="143"/>
      <c r="K118" s="143"/>
      <c r="L118" s="143"/>
      <c r="N118" s="143"/>
    </row>
    <row r="119" spans="10:14" x14ac:dyDescent="0.2">
      <c r="J119" s="143"/>
      <c r="K119" s="143"/>
      <c r="L119" s="143"/>
      <c r="N119" s="143"/>
    </row>
    <row r="120" spans="10:14" x14ac:dyDescent="0.2">
      <c r="J120" s="143"/>
      <c r="K120" s="143"/>
      <c r="L120" s="143"/>
      <c r="N120" s="143"/>
    </row>
    <row r="121" spans="10:14" x14ac:dyDescent="0.2">
      <c r="J121" s="143"/>
      <c r="K121" s="143"/>
      <c r="L121" s="143"/>
      <c r="N121" s="143"/>
    </row>
    <row r="122" spans="10:14" x14ac:dyDescent="0.2">
      <c r="J122" s="143"/>
      <c r="K122" s="143"/>
      <c r="L122" s="143"/>
      <c r="N122" s="143"/>
    </row>
    <row r="123" spans="10:14" x14ac:dyDescent="0.2">
      <c r="J123" s="143"/>
      <c r="K123" s="143"/>
      <c r="L123" s="143"/>
      <c r="N123" s="143"/>
    </row>
    <row r="124" spans="10:14" x14ac:dyDescent="0.2">
      <c r="J124" s="143"/>
      <c r="K124" s="143"/>
      <c r="L124" s="143"/>
      <c r="N124" s="143"/>
    </row>
    <row r="125" spans="10:14" x14ac:dyDescent="0.2">
      <c r="J125" s="143"/>
      <c r="K125" s="143"/>
      <c r="L125" s="143"/>
      <c r="N125" s="143"/>
    </row>
    <row r="126" spans="10:14" x14ac:dyDescent="0.2">
      <c r="J126" s="143"/>
      <c r="K126" s="143"/>
      <c r="L126" s="143"/>
      <c r="N126" s="143"/>
    </row>
    <row r="127" spans="10:14" x14ac:dyDescent="0.2">
      <c r="J127" s="143"/>
      <c r="K127" s="143"/>
      <c r="L127" s="143"/>
      <c r="N127" s="143"/>
    </row>
    <row r="128" spans="10:14" x14ac:dyDescent="0.2">
      <c r="J128" s="143"/>
      <c r="K128" s="143"/>
      <c r="L128" s="143"/>
      <c r="N128" s="143"/>
    </row>
    <row r="129" spans="10:26" x14ac:dyDescent="0.2">
      <c r="J129" s="143"/>
      <c r="K129" s="143"/>
      <c r="L129" s="143"/>
      <c r="N129" s="143"/>
    </row>
    <row r="130" spans="10:26" x14ac:dyDescent="0.2">
      <c r="J130" s="143"/>
      <c r="K130" s="143"/>
      <c r="L130" s="143"/>
      <c r="N130" s="143"/>
    </row>
    <row r="131" spans="10:26" x14ac:dyDescent="0.2">
      <c r="J131" s="143"/>
      <c r="K131" s="143"/>
      <c r="L131" s="143"/>
      <c r="N131" s="143"/>
    </row>
    <row r="132" spans="10:26" x14ac:dyDescent="0.2">
      <c r="J132" s="143"/>
      <c r="K132" s="143"/>
      <c r="L132" s="143"/>
      <c r="N132" s="143"/>
    </row>
    <row r="133" spans="10:26" x14ac:dyDescent="0.2">
      <c r="J133" s="143"/>
      <c r="K133" s="143"/>
      <c r="L133" s="143"/>
      <c r="N133" s="143"/>
    </row>
    <row r="134" spans="10:26" x14ac:dyDescent="0.2">
      <c r="J134" s="143"/>
      <c r="K134" s="143"/>
      <c r="L134" s="143"/>
      <c r="N134" s="143"/>
    </row>
    <row r="135" spans="10:26" x14ac:dyDescent="0.2">
      <c r="J135" s="143"/>
      <c r="K135" s="143"/>
      <c r="L135" s="143"/>
      <c r="N135" s="143"/>
    </row>
    <row r="136" spans="10:26" x14ac:dyDescent="0.2">
      <c r="J136" s="143"/>
      <c r="K136" s="143"/>
      <c r="L136" s="143"/>
      <c r="N136" s="143"/>
    </row>
    <row r="137" spans="10:26" x14ac:dyDescent="0.2">
      <c r="J137" s="143"/>
      <c r="K137" s="143"/>
      <c r="L137" s="143"/>
      <c r="N137" s="143"/>
    </row>
    <row r="138" spans="10:26" x14ac:dyDescent="0.2">
      <c r="J138" s="143"/>
      <c r="K138" s="143"/>
      <c r="L138" s="143"/>
      <c r="N138" s="143"/>
    </row>
    <row r="139" spans="10:26" x14ac:dyDescent="0.2">
      <c r="J139" s="143"/>
      <c r="K139" s="143"/>
      <c r="L139" s="143"/>
      <c r="N139" s="143"/>
    </row>
    <row r="140" spans="10:26" x14ac:dyDescent="0.2">
      <c r="J140" s="143"/>
      <c r="K140" s="143"/>
      <c r="L140" s="143"/>
      <c r="N140" s="143"/>
    </row>
    <row r="141" spans="10:26" x14ac:dyDescent="0.2">
      <c r="J141" s="143"/>
      <c r="K141" s="143"/>
      <c r="L141" s="143"/>
      <c r="N141" s="143"/>
    </row>
    <row r="142" spans="10:26" x14ac:dyDescent="0.2">
      <c r="J142" s="143"/>
      <c r="K142" s="143"/>
      <c r="L142" s="143"/>
      <c r="N142" s="143"/>
    </row>
    <row r="143" spans="10:26" x14ac:dyDescent="0.2">
      <c r="J143" s="143"/>
      <c r="K143" s="143"/>
      <c r="L143" s="143"/>
      <c r="N143" s="143"/>
      <c r="V143" s="82"/>
      <c r="W143" s="82"/>
      <c r="X143" s="82"/>
      <c r="Y143" s="82"/>
      <c r="Z143" s="82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D28"/>
  <sheetViews>
    <sheetView zoomScale="110" zoomScaleNormal="11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R1" sqref="R1"/>
    </sheetView>
  </sheetViews>
  <sheetFormatPr defaultRowHeight="12.75" x14ac:dyDescent="0.2"/>
  <cols>
    <col min="1" max="1" width="24" style="190" customWidth="1"/>
    <col min="2" max="4" width="14" style="190" customWidth="1"/>
    <col min="5" max="5" width="11.75" style="190" customWidth="1"/>
    <col min="6" max="6" width="11.5" style="190" customWidth="1"/>
    <col min="7" max="7" width="12.625" style="190" customWidth="1"/>
    <col min="8" max="8" width="12" style="190" customWidth="1"/>
    <col min="9" max="9" width="11.125" style="190" customWidth="1"/>
    <col min="10" max="10" width="11" style="190" customWidth="1"/>
    <col min="11" max="12" width="12.125" style="190" customWidth="1"/>
    <col min="13" max="13" width="13.375" style="306" customWidth="1"/>
    <col min="14" max="14" width="2.25" style="190" customWidth="1"/>
    <col min="15" max="15" width="13.125" style="190" customWidth="1"/>
    <col min="16" max="16" width="2" style="190" customWidth="1"/>
    <col min="17" max="17" width="13.375" style="306" customWidth="1"/>
    <col min="18" max="18" width="11.625" style="190" customWidth="1"/>
    <col min="19" max="19" width="10.75" customWidth="1"/>
  </cols>
  <sheetData>
    <row r="1" spans="1:21" ht="21" customHeight="1" x14ac:dyDescent="0.2">
      <c r="A1" s="255" t="s">
        <v>437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07"/>
      <c r="N1" s="256"/>
      <c r="O1" s="256"/>
      <c r="P1" s="256"/>
      <c r="Q1" s="304"/>
      <c r="R1" s="256"/>
      <c r="S1" s="257"/>
    </row>
    <row r="2" spans="1:21" ht="23.25" customHeight="1" x14ac:dyDescent="0.2">
      <c r="A2" s="258"/>
      <c r="B2" s="434" t="s">
        <v>25</v>
      </c>
      <c r="C2" s="434" t="s">
        <v>27</v>
      </c>
      <c r="D2" s="434" t="s">
        <v>28</v>
      </c>
      <c r="E2" s="434" t="s">
        <v>29</v>
      </c>
      <c r="F2" s="434" t="s">
        <v>30</v>
      </c>
      <c r="G2" s="434" t="s">
        <v>31</v>
      </c>
      <c r="H2" s="434" t="s">
        <v>32</v>
      </c>
      <c r="I2" s="434" t="s">
        <v>248</v>
      </c>
      <c r="J2" s="434" t="s">
        <v>251</v>
      </c>
      <c r="K2" s="434" t="s">
        <v>262</v>
      </c>
      <c r="L2" s="434" t="s">
        <v>302</v>
      </c>
      <c r="M2" s="434" t="s">
        <v>350</v>
      </c>
      <c r="N2" s="434"/>
      <c r="O2" s="253" t="s">
        <v>350</v>
      </c>
      <c r="P2" s="434"/>
      <c r="Q2" s="305"/>
      <c r="R2" s="253" t="s">
        <v>393</v>
      </c>
      <c r="S2" s="259"/>
    </row>
    <row r="3" spans="1:21" x14ac:dyDescent="0.2">
      <c r="A3" s="258"/>
      <c r="B3" s="427" t="s">
        <v>82</v>
      </c>
      <c r="C3" s="427" t="s">
        <v>82</v>
      </c>
      <c r="D3" s="427" t="s">
        <v>82</v>
      </c>
      <c r="E3" s="427" t="s">
        <v>82</v>
      </c>
      <c r="F3" s="427" t="s">
        <v>82</v>
      </c>
      <c r="G3" s="427" t="s">
        <v>82</v>
      </c>
      <c r="H3" s="427" t="s">
        <v>82</v>
      </c>
      <c r="I3" s="427" t="s">
        <v>82</v>
      </c>
      <c r="J3" s="427" t="s">
        <v>82</v>
      </c>
      <c r="K3" s="427" t="s">
        <v>82</v>
      </c>
      <c r="L3" s="427" t="s">
        <v>82</v>
      </c>
      <c r="M3" s="427" t="s">
        <v>82</v>
      </c>
      <c r="N3" s="427"/>
      <c r="O3" s="427" t="s">
        <v>386</v>
      </c>
      <c r="P3" s="427"/>
      <c r="Q3" s="426" t="s">
        <v>386</v>
      </c>
      <c r="R3" s="254" t="s">
        <v>456</v>
      </c>
      <c r="S3" s="259"/>
    </row>
    <row r="4" spans="1:21" ht="13.5" thickBot="1" x14ac:dyDescent="0.25">
      <c r="A4" s="265"/>
      <c r="B4" s="273" t="s">
        <v>103</v>
      </c>
      <c r="C4" s="273" t="s">
        <v>103</v>
      </c>
      <c r="D4" s="273" t="s">
        <v>103</v>
      </c>
      <c r="E4" s="273" t="s">
        <v>103</v>
      </c>
      <c r="F4" s="273" t="s">
        <v>103</v>
      </c>
      <c r="G4" s="273" t="s">
        <v>103</v>
      </c>
      <c r="H4" s="273" t="s">
        <v>103</v>
      </c>
      <c r="I4" s="273" t="s">
        <v>103</v>
      </c>
      <c r="J4" s="273" t="s">
        <v>103</v>
      </c>
      <c r="K4" s="273" t="s">
        <v>103</v>
      </c>
      <c r="L4" s="273" t="s">
        <v>103</v>
      </c>
      <c r="M4" s="273" t="s">
        <v>103</v>
      </c>
      <c r="N4" s="273"/>
      <c r="O4" s="274" t="s">
        <v>477</v>
      </c>
      <c r="P4" s="274"/>
      <c r="Q4" s="274" t="s">
        <v>476</v>
      </c>
      <c r="R4" s="302" t="s">
        <v>367</v>
      </c>
      <c r="S4" s="303" t="s">
        <v>21</v>
      </c>
    </row>
    <row r="5" spans="1:21" x14ac:dyDescent="0.2">
      <c r="A5" s="25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449"/>
      <c r="N5" s="168"/>
      <c r="O5" s="170"/>
      <c r="P5" s="170"/>
      <c r="Q5" s="449"/>
      <c r="R5" s="269"/>
      <c r="S5" s="260"/>
    </row>
    <row r="6" spans="1:21" x14ac:dyDescent="0.2">
      <c r="A6" s="258"/>
      <c r="B6" s="450"/>
      <c r="C6" s="450"/>
      <c r="D6" s="450"/>
      <c r="E6" s="168"/>
      <c r="F6" s="168"/>
      <c r="G6" s="119" t="s">
        <v>438</v>
      </c>
      <c r="H6" s="168"/>
      <c r="I6" s="168"/>
      <c r="J6" s="168"/>
      <c r="K6" s="168"/>
      <c r="L6" s="168"/>
      <c r="M6" s="449"/>
      <c r="N6" s="168"/>
      <c r="O6" s="170"/>
      <c r="P6" s="119" t="s">
        <v>438</v>
      </c>
      <c r="Q6" s="449"/>
      <c r="R6" s="209"/>
      <c r="S6" s="260"/>
    </row>
    <row r="7" spans="1:21" x14ac:dyDescent="0.2">
      <c r="A7" s="261" t="s">
        <v>361</v>
      </c>
      <c r="R7" s="270"/>
      <c r="S7" s="260"/>
    </row>
    <row r="8" spans="1:21" x14ac:dyDescent="0.2">
      <c r="A8" s="262" t="s">
        <v>362</v>
      </c>
      <c r="B8" s="192">
        <v>1210.857</v>
      </c>
      <c r="C8" s="192">
        <v>1330.8320000000001</v>
      </c>
      <c r="D8" s="192">
        <v>1059.6590000000001</v>
      </c>
      <c r="E8" s="192">
        <v>1286.434</v>
      </c>
      <c r="F8" s="192">
        <v>1401.1210000000001</v>
      </c>
      <c r="G8" s="192">
        <v>1387.326</v>
      </c>
      <c r="H8" s="192">
        <v>1227.749</v>
      </c>
      <c r="I8" s="192">
        <v>1353.251</v>
      </c>
      <c r="J8" s="192">
        <v>1329.4</v>
      </c>
      <c r="K8" s="192">
        <v>1679.9</v>
      </c>
      <c r="L8" s="192">
        <v>1322.4</v>
      </c>
      <c r="M8" s="301">
        <v>716.3</v>
      </c>
      <c r="N8" s="192"/>
      <c r="O8" s="592">
        <f>104.2+623.3</f>
        <v>727.5</v>
      </c>
      <c r="P8" s="592"/>
      <c r="Q8" s="593">
        <f>204.9+1543</f>
        <v>1747.9</v>
      </c>
      <c r="R8" s="711">
        <f>Q8-O8</f>
        <v>1020.4000000000001</v>
      </c>
      <c r="S8" s="263">
        <f>R8/O8*100</f>
        <v>140.26116838487974</v>
      </c>
    </row>
    <row r="9" spans="1:21" x14ac:dyDescent="0.2">
      <c r="A9" s="262" t="s">
        <v>363</v>
      </c>
      <c r="B9" s="192">
        <v>186.483</v>
      </c>
      <c r="C9" s="192">
        <v>160.73699999999999</v>
      </c>
      <c r="D9" s="192">
        <v>207.036</v>
      </c>
      <c r="E9" s="192">
        <v>185.077</v>
      </c>
      <c r="F9" s="192">
        <v>124.014</v>
      </c>
      <c r="G9" s="192">
        <v>186.35400000000001</v>
      </c>
      <c r="H9" s="192">
        <v>52.71</v>
      </c>
      <c r="I9" s="192">
        <v>88.638999999999996</v>
      </c>
      <c r="J9" s="192">
        <v>73.2</v>
      </c>
      <c r="K9" s="192">
        <v>30.6</v>
      </c>
      <c r="L9" s="192">
        <v>18.600000000000001</v>
      </c>
      <c r="M9" s="301">
        <v>26.8</v>
      </c>
      <c r="N9" s="192"/>
      <c r="O9" s="192">
        <f>32.7+25.3</f>
        <v>58</v>
      </c>
      <c r="P9" s="192"/>
      <c r="Q9" s="324">
        <f>19.6+40.3</f>
        <v>59.9</v>
      </c>
      <c r="R9" s="711">
        <f>Q9-O9</f>
        <v>1.8999999999999986</v>
      </c>
      <c r="S9" s="263">
        <f>R9/O9*100</f>
        <v>3.2758620689655147</v>
      </c>
    </row>
    <row r="10" spans="1:21" x14ac:dyDescent="0.2">
      <c r="A10" s="262" t="s">
        <v>355</v>
      </c>
      <c r="B10" s="192">
        <f t="shared" ref="B10:I10" si="0">B8+B9</f>
        <v>1397.34</v>
      </c>
      <c r="C10" s="192">
        <f t="shared" si="0"/>
        <v>1491.5690000000002</v>
      </c>
      <c r="D10" s="192">
        <f t="shared" si="0"/>
        <v>1266.6950000000002</v>
      </c>
      <c r="E10" s="192">
        <f t="shared" si="0"/>
        <v>1471.511</v>
      </c>
      <c r="F10" s="192">
        <f t="shared" si="0"/>
        <v>1525.135</v>
      </c>
      <c r="G10" s="192">
        <f t="shared" si="0"/>
        <v>1573.68</v>
      </c>
      <c r="H10" s="192">
        <f t="shared" si="0"/>
        <v>1280.4590000000001</v>
      </c>
      <c r="I10" s="192">
        <f t="shared" si="0"/>
        <v>1441.8899999999999</v>
      </c>
      <c r="J10" s="192">
        <f>J8+J9</f>
        <v>1402.6000000000001</v>
      </c>
      <c r="K10" s="192">
        <f>K8+K9</f>
        <v>1710.5</v>
      </c>
      <c r="L10" s="192">
        <f>L8+L9</f>
        <v>1341</v>
      </c>
      <c r="M10" s="301">
        <f>M8+M9</f>
        <v>743.09999999999991</v>
      </c>
      <c r="N10" s="192"/>
      <c r="O10" s="192">
        <f>O8+O9</f>
        <v>785.5</v>
      </c>
      <c r="P10" s="192"/>
      <c r="Q10" s="324">
        <f>Q8+Q9</f>
        <v>1807.8000000000002</v>
      </c>
      <c r="R10" s="711">
        <f>Q10-O10</f>
        <v>1022.3000000000002</v>
      </c>
      <c r="S10" s="263">
        <f>R10/O10*100</f>
        <v>130.14640356460856</v>
      </c>
    </row>
    <row r="11" spans="1:21" x14ac:dyDescent="0.2">
      <c r="A11" s="26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301"/>
      <c r="N11" s="192"/>
      <c r="O11" s="192"/>
      <c r="P11" s="192"/>
      <c r="Q11" s="324"/>
      <c r="R11" s="711"/>
      <c r="S11" s="263"/>
      <c r="T11" s="190"/>
      <c r="U11" s="190"/>
    </row>
    <row r="12" spans="1:21" x14ac:dyDescent="0.2">
      <c r="A12" s="264" t="s">
        <v>364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301"/>
      <c r="N12" s="192"/>
      <c r="O12" s="192"/>
      <c r="P12" s="192"/>
      <c r="Q12" s="324"/>
      <c r="R12" s="711"/>
      <c r="S12" s="263"/>
      <c r="T12" s="190"/>
      <c r="U12" s="190"/>
    </row>
    <row r="13" spans="1:21" x14ac:dyDescent="0.2">
      <c r="A13" s="262" t="s">
        <v>362</v>
      </c>
      <c r="B13" s="192">
        <v>40.817999999999998</v>
      </c>
      <c r="C13" s="192">
        <v>54.24</v>
      </c>
      <c r="D13" s="192">
        <v>16.808</v>
      </c>
      <c r="E13" s="192">
        <v>18.898</v>
      </c>
      <c r="F13" s="192">
        <v>31.21</v>
      </c>
      <c r="G13" s="192">
        <v>25.574000000000002</v>
      </c>
      <c r="H13" s="192">
        <v>16.545000000000002</v>
      </c>
      <c r="I13" s="192">
        <v>39.860999999999997</v>
      </c>
      <c r="J13" s="192">
        <v>59.5</v>
      </c>
      <c r="K13" s="192">
        <v>40.5</v>
      </c>
      <c r="L13" s="192">
        <v>53.2</v>
      </c>
      <c r="M13" s="301">
        <v>23.5</v>
      </c>
      <c r="N13" s="192"/>
      <c r="O13" s="192">
        <f>5.5+18.7</f>
        <v>24.2</v>
      </c>
      <c r="P13" s="192"/>
      <c r="Q13" s="324">
        <f>4+14.4</f>
        <v>18.399999999999999</v>
      </c>
      <c r="R13" s="711">
        <f>Q13-O13</f>
        <v>-5.8000000000000007</v>
      </c>
      <c r="S13" s="263">
        <f>R13/O13*100</f>
        <v>-23.966942148760335</v>
      </c>
      <c r="T13" s="190"/>
      <c r="U13" s="190"/>
    </row>
    <row r="14" spans="1:21" x14ac:dyDescent="0.2">
      <c r="A14" s="262" t="s">
        <v>363</v>
      </c>
      <c r="B14" s="192">
        <v>160.05799999999999</v>
      </c>
      <c r="C14" s="192">
        <v>134.77099999999999</v>
      </c>
      <c r="D14" s="192">
        <v>74.751000000000005</v>
      </c>
      <c r="E14" s="192">
        <v>85.275999999999996</v>
      </c>
      <c r="F14" s="192">
        <v>95.278999999999996</v>
      </c>
      <c r="G14" s="192">
        <v>188.66900000000001</v>
      </c>
      <c r="H14" s="192">
        <v>65.183999999999997</v>
      </c>
      <c r="I14" s="192">
        <v>152.857</v>
      </c>
      <c r="J14" s="192">
        <v>86.7</v>
      </c>
      <c r="K14" s="192">
        <v>157.1</v>
      </c>
      <c r="L14" s="192">
        <v>80.8</v>
      </c>
      <c r="M14" s="301">
        <v>39.200000000000003</v>
      </c>
      <c r="N14" s="192"/>
      <c r="O14" s="192">
        <f>21.2+24</f>
        <v>45.2</v>
      </c>
      <c r="P14" s="192"/>
      <c r="Q14" s="324">
        <f>55.5+57.8</f>
        <v>113.3</v>
      </c>
      <c r="R14" s="711">
        <f>Q14-O14</f>
        <v>68.099999999999994</v>
      </c>
      <c r="S14" s="263">
        <f>R14/O14*100</f>
        <v>150.66371681415927</v>
      </c>
      <c r="T14" s="190"/>
      <c r="U14" s="190"/>
    </row>
    <row r="15" spans="1:21" x14ac:dyDescent="0.2">
      <c r="A15" s="262" t="s">
        <v>355</v>
      </c>
      <c r="B15" s="192">
        <f t="shared" ref="B15:I15" si="1">B13+B14</f>
        <v>200.87599999999998</v>
      </c>
      <c r="C15" s="192">
        <f t="shared" si="1"/>
        <v>189.011</v>
      </c>
      <c r="D15" s="192">
        <f t="shared" si="1"/>
        <v>91.558999999999997</v>
      </c>
      <c r="E15" s="192">
        <f t="shared" si="1"/>
        <v>104.17399999999999</v>
      </c>
      <c r="F15" s="192">
        <f t="shared" si="1"/>
        <v>126.489</v>
      </c>
      <c r="G15" s="192">
        <f t="shared" si="1"/>
        <v>214.24300000000002</v>
      </c>
      <c r="H15" s="192">
        <f t="shared" si="1"/>
        <v>81.728999999999999</v>
      </c>
      <c r="I15" s="192">
        <f t="shared" si="1"/>
        <v>192.71799999999999</v>
      </c>
      <c r="J15" s="192">
        <f>J13+J14</f>
        <v>146.19999999999999</v>
      </c>
      <c r="K15" s="192">
        <f>K13+K14</f>
        <v>197.6</v>
      </c>
      <c r="L15" s="192">
        <f>L13+L14</f>
        <v>134</v>
      </c>
      <c r="M15" s="301">
        <f>M13+M14</f>
        <v>62.7</v>
      </c>
      <c r="N15" s="192"/>
      <c r="O15" s="192">
        <f>O13+O14</f>
        <v>69.400000000000006</v>
      </c>
      <c r="P15" s="192"/>
      <c r="Q15" s="324">
        <f>Q13+Q14</f>
        <v>131.69999999999999</v>
      </c>
      <c r="R15" s="711">
        <f>Q15-O15</f>
        <v>62.299999999999983</v>
      </c>
      <c r="S15" s="263">
        <f>R15/O15*100</f>
        <v>89.769452449567694</v>
      </c>
      <c r="T15" s="190"/>
      <c r="U15" s="190"/>
    </row>
    <row r="16" spans="1:21" x14ac:dyDescent="0.2">
      <c r="A16" s="26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301"/>
      <c r="N16" s="192"/>
      <c r="O16" s="192"/>
      <c r="P16" s="192"/>
      <c r="Q16" s="324"/>
      <c r="R16" s="711"/>
      <c r="S16" s="263"/>
      <c r="T16" s="190"/>
      <c r="U16" s="190"/>
    </row>
    <row r="17" spans="1:30" x14ac:dyDescent="0.2">
      <c r="A17" s="264" t="s">
        <v>365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301"/>
      <c r="N17" s="192"/>
      <c r="O17" s="192"/>
      <c r="P17" s="192"/>
      <c r="Q17" s="324"/>
      <c r="R17" s="711"/>
      <c r="S17" s="263"/>
      <c r="T17" s="190"/>
      <c r="U17" s="190"/>
    </row>
    <row r="18" spans="1:30" x14ac:dyDescent="0.2">
      <c r="A18" s="262" t="s">
        <v>362</v>
      </c>
      <c r="B18" s="192">
        <v>748.78099999999995</v>
      </c>
      <c r="C18" s="192">
        <v>1063.4269999999999</v>
      </c>
      <c r="D18" s="192">
        <v>964.76599999999996</v>
      </c>
      <c r="E18" s="192">
        <v>1095.3440000000001</v>
      </c>
      <c r="F18" s="192">
        <v>968.49900000000002</v>
      </c>
      <c r="G18" s="192">
        <v>903.60900000000004</v>
      </c>
      <c r="H18" s="192">
        <v>904.95399999999995</v>
      </c>
      <c r="I18" s="192">
        <v>865.92899999999997</v>
      </c>
      <c r="J18" s="192">
        <v>900.2</v>
      </c>
      <c r="K18" s="192">
        <v>654.5</v>
      </c>
      <c r="L18" s="192">
        <v>812</v>
      </c>
      <c r="M18" s="301">
        <v>750</v>
      </c>
      <c r="N18" s="192"/>
      <c r="O18" s="192">
        <f>94.7+623.5</f>
        <v>718.2</v>
      </c>
      <c r="P18" s="192"/>
      <c r="Q18" s="324">
        <f>65.9+741.5</f>
        <v>807.4</v>
      </c>
      <c r="R18" s="711">
        <f>Q18-O18</f>
        <v>89.199999999999932</v>
      </c>
      <c r="S18" s="263">
        <f>R18/O18*100</f>
        <v>12.419938735728199</v>
      </c>
      <c r="T18" s="190"/>
      <c r="U18" s="190"/>
    </row>
    <row r="19" spans="1:30" x14ac:dyDescent="0.2">
      <c r="A19" s="262" t="s">
        <v>363</v>
      </c>
      <c r="B19" s="192">
        <v>770.95899999999995</v>
      </c>
      <c r="C19" s="192">
        <v>682.65099999999995</v>
      </c>
      <c r="D19" s="192">
        <v>717.69600000000003</v>
      </c>
      <c r="E19" s="192">
        <v>595.96900000000005</v>
      </c>
      <c r="F19" s="192">
        <v>739.45600000000002</v>
      </c>
      <c r="G19" s="192">
        <v>828.10500000000002</v>
      </c>
      <c r="H19" s="192">
        <v>548.88199999999995</v>
      </c>
      <c r="I19" s="192">
        <v>577.71400000000006</v>
      </c>
      <c r="J19" s="192">
        <v>686.5</v>
      </c>
      <c r="K19" s="192">
        <v>633.4</v>
      </c>
      <c r="L19" s="192">
        <v>462.2</v>
      </c>
      <c r="M19" s="301">
        <v>293</v>
      </c>
      <c r="N19" s="192"/>
      <c r="O19" s="192">
        <f>75.3+240.2</f>
        <v>315.5</v>
      </c>
      <c r="P19" s="192"/>
      <c r="Q19" s="324">
        <f>119.2+362.7</f>
        <v>481.9</v>
      </c>
      <c r="R19" s="711">
        <f>Q19-O19</f>
        <v>166.39999999999998</v>
      </c>
      <c r="S19" s="263">
        <f>R19/O19*100</f>
        <v>52.741679873217109</v>
      </c>
    </row>
    <row r="20" spans="1:30" x14ac:dyDescent="0.2">
      <c r="A20" s="262" t="s">
        <v>355</v>
      </c>
      <c r="B20" s="192">
        <f t="shared" ref="B20:I20" si="2">B18+B19</f>
        <v>1519.7399999999998</v>
      </c>
      <c r="C20" s="192">
        <f t="shared" si="2"/>
        <v>1746.078</v>
      </c>
      <c r="D20" s="192">
        <f t="shared" si="2"/>
        <v>1682.462</v>
      </c>
      <c r="E20" s="192">
        <f t="shared" si="2"/>
        <v>1691.3130000000001</v>
      </c>
      <c r="F20" s="192">
        <f t="shared" si="2"/>
        <v>1707.9549999999999</v>
      </c>
      <c r="G20" s="192">
        <f t="shared" si="2"/>
        <v>1731.7139999999999</v>
      </c>
      <c r="H20" s="192">
        <f t="shared" si="2"/>
        <v>1453.8359999999998</v>
      </c>
      <c r="I20" s="192">
        <f t="shared" si="2"/>
        <v>1443.643</v>
      </c>
      <c r="J20" s="192">
        <f>J18+J19</f>
        <v>1586.7</v>
      </c>
      <c r="K20" s="192">
        <f>K18+K19</f>
        <v>1287.9000000000001</v>
      </c>
      <c r="L20" s="192">
        <f>L18+L19</f>
        <v>1274.2</v>
      </c>
      <c r="M20" s="301">
        <f>M18+M19</f>
        <v>1043</v>
      </c>
      <c r="N20" s="192"/>
      <c r="O20" s="192">
        <f>O18+O19</f>
        <v>1033.7</v>
      </c>
      <c r="P20" s="192"/>
      <c r="Q20" s="324">
        <f>Q18+Q19</f>
        <v>1289.3</v>
      </c>
      <c r="R20" s="711">
        <f>Q20-O20</f>
        <v>255.59999999999991</v>
      </c>
      <c r="S20" s="263">
        <f>R20/O20*100</f>
        <v>24.726709877140358</v>
      </c>
    </row>
    <row r="21" spans="1:30" x14ac:dyDescent="0.2">
      <c r="A21" s="262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301"/>
      <c r="N21" s="192"/>
      <c r="O21" s="192"/>
      <c r="P21" s="192"/>
      <c r="Q21" s="324"/>
      <c r="R21" s="711"/>
      <c r="S21" s="263"/>
    </row>
    <row r="22" spans="1:30" x14ac:dyDescent="0.2">
      <c r="A22" s="264" t="s">
        <v>366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301"/>
      <c r="N22" s="192"/>
      <c r="O22" s="192"/>
      <c r="P22" s="192"/>
      <c r="Q22" s="324"/>
      <c r="R22" s="711"/>
      <c r="S22" s="263"/>
    </row>
    <row r="23" spans="1:30" x14ac:dyDescent="0.2">
      <c r="A23" s="262" t="s">
        <v>362</v>
      </c>
      <c r="B23" s="192">
        <f t="shared" ref="B23:I23" si="3">B8+B13+B18</f>
        <v>2000.4559999999999</v>
      </c>
      <c r="C23" s="192">
        <f t="shared" si="3"/>
        <v>2448.4989999999998</v>
      </c>
      <c r="D23" s="192">
        <f t="shared" si="3"/>
        <v>2041.2330000000002</v>
      </c>
      <c r="E23" s="192">
        <f t="shared" si="3"/>
        <v>2400.6759999999999</v>
      </c>
      <c r="F23" s="192">
        <f t="shared" si="3"/>
        <v>2400.83</v>
      </c>
      <c r="G23" s="192">
        <f t="shared" si="3"/>
        <v>2316.509</v>
      </c>
      <c r="H23" s="192">
        <f t="shared" si="3"/>
        <v>2149.248</v>
      </c>
      <c r="I23" s="192">
        <f t="shared" si="3"/>
        <v>2259.0410000000002</v>
      </c>
      <c r="J23" s="192">
        <f t="shared" ref="J23:K24" si="4">J8+J13+J18</f>
        <v>2289.1000000000004</v>
      </c>
      <c r="K23" s="192">
        <f t="shared" si="4"/>
        <v>2374.9</v>
      </c>
      <c r="L23" s="192">
        <f t="shared" ref="L23" si="5">L8+L13+L18</f>
        <v>2187.6000000000004</v>
      </c>
      <c r="M23" s="301">
        <f>M8+M13+M18</f>
        <v>1489.8</v>
      </c>
      <c r="N23" s="192"/>
      <c r="O23" s="192">
        <f>O8+O13+O18</f>
        <v>1469.9</v>
      </c>
      <c r="P23" s="192"/>
      <c r="Q23" s="324">
        <f>Q8+Q13+Q18</f>
        <v>2573.7000000000003</v>
      </c>
      <c r="R23" s="711">
        <f>Q23-O23</f>
        <v>1103.8000000000002</v>
      </c>
      <c r="S23" s="263">
        <f>R23/O23*100</f>
        <v>75.093543778488339</v>
      </c>
    </row>
    <row r="24" spans="1:30" x14ac:dyDescent="0.2">
      <c r="A24" s="262" t="s">
        <v>363</v>
      </c>
      <c r="B24" s="192">
        <f t="shared" ref="B24:I24" si="6">B9+B14+B19</f>
        <v>1117.5</v>
      </c>
      <c r="C24" s="192">
        <f t="shared" si="6"/>
        <v>978.15899999999988</v>
      </c>
      <c r="D24" s="192">
        <f t="shared" si="6"/>
        <v>999.48300000000006</v>
      </c>
      <c r="E24" s="192">
        <f t="shared" si="6"/>
        <v>866.32200000000012</v>
      </c>
      <c r="F24" s="192">
        <f t="shared" si="6"/>
        <v>958.74900000000002</v>
      </c>
      <c r="G24" s="192">
        <f t="shared" si="6"/>
        <v>1203.1280000000002</v>
      </c>
      <c r="H24" s="192">
        <f t="shared" si="6"/>
        <v>666.77599999999995</v>
      </c>
      <c r="I24" s="192">
        <f t="shared" si="6"/>
        <v>819.21</v>
      </c>
      <c r="J24" s="192">
        <f t="shared" si="4"/>
        <v>846.4</v>
      </c>
      <c r="K24" s="192">
        <f t="shared" si="4"/>
        <v>821.09999999999991</v>
      </c>
      <c r="L24" s="192">
        <f t="shared" ref="L24" si="7">L9+L14+L19</f>
        <v>561.6</v>
      </c>
      <c r="M24" s="301">
        <f>M9+M14+M19</f>
        <v>359</v>
      </c>
      <c r="N24" s="192"/>
      <c r="O24" s="192">
        <f>O9+O14+O19</f>
        <v>418.7</v>
      </c>
      <c r="P24" s="192"/>
      <c r="Q24" s="324">
        <f>Q9+Q14+Q19</f>
        <v>655.09999999999991</v>
      </c>
      <c r="R24" s="711">
        <f>Q24-O24</f>
        <v>236.39999999999992</v>
      </c>
      <c r="S24" s="263">
        <f>R24/O24*100</f>
        <v>56.46047289228563</v>
      </c>
    </row>
    <row r="25" spans="1:30" s="191" customFormat="1" ht="13.5" thickBot="1" x14ac:dyDescent="0.25">
      <c r="A25" s="310" t="s">
        <v>355</v>
      </c>
      <c r="B25" s="311">
        <f t="shared" ref="B25:I25" si="8">B23+B24</f>
        <v>3117.9560000000001</v>
      </c>
      <c r="C25" s="311">
        <f t="shared" si="8"/>
        <v>3426.6579999999994</v>
      </c>
      <c r="D25" s="311">
        <f t="shared" si="8"/>
        <v>3040.7160000000003</v>
      </c>
      <c r="E25" s="311">
        <f t="shared" si="8"/>
        <v>3266.998</v>
      </c>
      <c r="F25" s="311">
        <f t="shared" si="8"/>
        <v>3359.5789999999997</v>
      </c>
      <c r="G25" s="311">
        <f t="shared" si="8"/>
        <v>3519.6370000000002</v>
      </c>
      <c r="H25" s="311">
        <f t="shared" si="8"/>
        <v>2816.0239999999999</v>
      </c>
      <c r="I25" s="311">
        <f t="shared" si="8"/>
        <v>3078.2510000000002</v>
      </c>
      <c r="J25" s="311">
        <f>J23+J24</f>
        <v>3135.5000000000005</v>
      </c>
      <c r="K25" s="311">
        <f>K23+K24-0.1</f>
        <v>3195.9</v>
      </c>
      <c r="L25" s="311">
        <f>L23+L24</f>
        <v>2749.2000000000003</v>
      </c>
      <c r="M25" s="312">
        <f>M23+M24-0.1</f>
        <v>1848.7</v>
      </c>
      <c r="N25" s="311"/>
      <c r="O25" s="311">
        <v>1888.9</v>
      </c>
      <c r="P25" s="311"/>
      <c r="Q25" s="325">
        <v>3228.7</v>
      </c>
      <c r="R25" s="712">
        <f>Q25-O25</f>
        <v>1339.7999999999997</v>
      </c>
      <c r="S25" s="313">
        <f>R25/O25*100</f>
        <v>70.9301709989941</v>
      </c>
    </row>
    <row r="26" spans="1:30" s="67" customFormat="1" ht="16.5" customHeight="1" x14ac:dyDescent="0.2">
      <c r="A26" s="723" t="s">
        <v>409</v>
      </c>
      <c r="B26" s="723"/>
      <c r="C26" s="723"/>
      <c r="D26" s="723"/>
      <c r="E26" s="724"/>
      <c r="F26" s="724"/>
      <c r="G26" s="724"/>
      <c r="H26" s="724"/>
      <c r="M26" s="73"/>
      <c r="O26" s="143"/>
      <c r="P26" s="143"/>
      <c r="Q26" s="73"/>
      <c r="R26" s="143"/>
      <c r="S26" s="143"/>
      <c r="T26" s="143"/>
      <c r="U26" s="143"/>
      <c r="V26" s="143"/>
      <c r="W26"/>
      <c r="X26" s="143"/>
      <c r="AD26" s="68"/>
    </row>
    <row r="27" spans="1:30" s="67" customFormat="1" ht="11.25" customHeight="1" x14ac:dyDescent="0.2">
      <c r="A27" s="67" t="s">
        <v>335</v>
      </c>
      <c r="M27" s="73"/>
      <c r="O27" s="143"/>
      <c r="P27" s="143"/>
      <c r="Q27" s="73"/>
      <c r="R27" s="143"/>
      <c r="S27" s="143"/>
      <c r="T27" s="143"/>
      <c r="U27" s="143"/>
      <c r="V27" s="143"/>
      <c r="W27"/>
      <c r="X27" s="143"/>
      <c r="AD27" s="68"/>
    </row>
    <row r="28" spans="1:30" s="67" customFormat="1" ht="12" customHeight="1" x14ac:dyDescent="0.2">
      <c r="A28" s="6" t="s">
        <v>483</v>
      </c>
      <c r="B28" s="6"/>
      <c r="C28" s="6"/>
      <c r="D28" s="6"/>
      <c r="M28" s="73"/>
      <c r="O28" s="143"/>
      <c r="P28" s="143"/>
      <c r="Q28" s="73"/>
      <c r="R28" s="143"/>
      <c r="S28" s="143"/>
      <c r="T28" s="143"/>
      <c r="U28" s="143"/>
      <c r="V28" s="143"/>
      <c r="W28"/>
      <c r="X28" s="143"/>
      <c r="AD28" s="68"/>
    </row>
  </sheetData>
  <mergeCells count="1">
    <mergeCell ref="A26:H26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6" transitionEvaluation="1" codeName="Sheet9">
    <pageSetUpPr fitToPage="1"/>
  </sheetPr>
  <dimension ref="A1:AA197"/>
  <sheetViews>
    <sheetView showGridLines="0" zoomScale="130" zoomScaleNormal="130" workbookViewId="0">
      <pane xSplit="1" ySplit="7" topLeftCell="B86" activePane="bottomRight" state="frozen"/>
      <selection pane="topRight" activeCell="B1" sqref="B1"/>
      <selection pane="bottomLeft" activeCell="A7" sqref="A7"/>
      <selection pane="bottomRight" activeCell="C113" sqref="C113"/>
    </sheetView>
  </sheetViews>
  <sheetFormatPr defaultColWidth="9.625" defaultRowHeight="12" x14ac:dyDescent="0.2"/>
  <cols>
    <col min="1" max="1" width="18.5" style="159" customWidth="1"/>
    <col min="2" max="3" width="12" style="84" customWidth="1"/>
    <col min="4" max="4" width="1.75" style="84" customWidth="1"/>
    <col min="5" max="5" width="13.75" style="86" customWidth="1"/>
    <col min="6" max="6" width="5.625" style="84" customWidth="1"/>
    <col min="7" max="7" width="10" style="49" customWidth="1"/>
    <col min="8" max="8" width="13.125" style="84" customWidth="1"/>
    <col min="9" max="9" width="13.25" style="85" customWidth="1"/>
    <col min="10" max="10" width="9.625" style="84" customWidth="1"/>
    <col min="11" max="11" width="10.375" style="84" customWidth="1"/>
    <col min="12" max="12" width="10.125" style="84" customWidth="1"/>
    <col min="13" max="13" width="2.625" style="84" customWidth="1"/>
    <col min="14" max="14" width="11.5" style="84" customWidth="1"/>
    <col min="15" max="16384" width="9.625" style="84"/>
  </cols>
  <sheetData>
    <row r="1" spans="1:27" s="159" customFormat="1" x14ac:dyDescent="0.2">
      <c r="A1" s="478" t="s">
        <v>358</v>
      </c>
      <c r="B1" s="479"/>
      <c r="C1" s="479"/>
      <c r="D1" s="479"/>
      <c r="E1" s="479"/>
      <c r="F1" s="479"/>
      <c r="G1" s="480"/>
      <c r="H1" s="479"/>
      <c r="I1" s="479"/>
      <c r="J1" s="479"/>
      <c r="K1" s="479"/>
      <c r="L1" s="479"/>
      <c r="M1" s="479"/>
      <c r="N1" s="481"/>
    </row>
    <row r="2" spans="1:27" s="159" customFormat="1" x14ac:dyDescent="0.2">
      <c r="A2" s="482"/>
      <c r="B2" s="315"/>
      <c r="C2" s="315"/>
      <c r="D2" s="315"/>
      <c r="E2" s="315"/>
      <c r="F2" s="315"/>
      <c r="G2" s="316"/>
      <c r="H2" s="315"/>
      <c r="I2" s="315"/>
      <c r="J2" s="315"/>
      <c r="K2" s="315"/>
      <c r="L2" s="315"/>
      <c r="M2" s="315"/>
      <c r="N2" s="483"/>
    </row>
    <row r="3" spans="1:27" s="92" customFormat="1" ht="12" customHeight="1" x14ac:dyDescent="0.2">
      <c r="A3" s="482"/>
      <c r="B3" s="160"/>
      <c r="C3" s="160" t="s">
        <v>466</v>
      </c>
      <c r="D3" s="160"/>
      <c r="E3" s="160"/>
      <c r="F3" s="160"/>
      <c r="G3" s="171"/>
      <c r="H3" s="160"/>
      <c r="I3" s="160"/>
      <c r="J3" s="160"/>
      <c r="K3" s="160"/>
      <c r="L3" s="160"/>
      <c r="M3" s="160"/>
      <c r="N3" s="484"/>
    </row>
    <row r="4" spans="1:27" s="92" customFormat="1" ht="12" customHeight="1" thickBot="1" x14ac:dyDescent="0.25">
      <c r="A4" s="482" t="s">
        <v>170</v>
      </c>
      <c r="B4" s="160" t="s">
        <v>169</v>
      </c>
      <c r="C4" s="160" t="s">
        <v>169</v>
      </c>
      <c r="D4" s="160"/>
      <c r="E4" s="160" t="s">
        <v>168</v>
      </c>
      <c r="F4" s="160"/>
      <c r="G4" s="172"/>
      <c r="H4" s="161" t="s">
        <v>167</v>
      </c>
      <c r="I4" s="161" t="s">
        <v>310</v>
      </c>
      <c r="J4" s="161"/>
      <c r="K4" s="161"/>
      <c r="L4" s="161"/>
      <c r="M4" s="314"/>
      <c r="N4" s="484" t="s">
        <v>166</v>
      </c>
    </row>
    <row r="5" spans="1:27" s="92" customFormat="1" ht="12" customHeight="1" x14ac:dyDescent="0.2">
      <c r="A5" s="482" t="s">
        <v>165</v>
      </c>
      <c r="B5" s="160" t="s">
        <v>164</v>
      </c>
      <c r="C5" s="160" t="s">
        <v>164</v>
      </c>
      <c r="D5" s="160"/>
      <c r="E5" s="160" t="s">
        <v>163</v>
      </c>
      <c r="F5" s="160"/>
      <c r="G5" s="171" t="s">
        <v>308</v>
      </c>
      <c r="H5" s="162" t="s">
        <v>343</v>
      </c>
      <c r="I5" s="162" t="s">
        <v>341</v>
      </c>
      <c r="J5" s="162">
        <v>0.15</v>
      </c>
      <c r="K5" s="162">
        <v>0.25</v>
      </c>
      <c r="L5" s="160" t="s">
        <v>162</v>
      </c>
      <c r="M5" s="160"/>
      <c r="N5" s="485">
        <v>0.05</v>
      </c>
    </row>
    <row r="6" spans="1:27" s="92" customFormat="1" ht="13.9" customHeight="1" x14ac:dyDescent="0.2">
      <c r="A6" s="486" t="s">
        <v>103</v>
      </c>
      <c r="B6" s="289" t="s">
        <v>161</v>
      </c>
      <c r="C6" s="289" t="s">
        <v>160</v>
      </c>
      <c r="D6" s="289"/>
      <c r="E6" s="289" t="s">
        <v>159</v>
      </c>
      <c r="F6" s="289"/>
      <c r="G6" s="290" t="s">
        <v>309</v>
      </c>
      <c r="H6" s="289" t="s">
        <v>158</v>
      </c>
      <c r="I6" s="289" t="s">
        <v>412</v>
      </c>
      <c r="J6" s="289" t="s">
        <v>413</v>
      </c>
      <c r="K6" s="289" t="s">
        <v>413</v>
      </c>
      <c r="L6" s="289" t="s">
        <v>414</v>
      </c>
      <c r="M6" s="289"/>
      <c r="N6" s="487" t="s">
        <v>415</v>
      </c>
    </row>
    <row r="7" spans="1:27" ht="12.6" customHeight="1" x14ac:dyDescent="0.2">
      <c r="A7" s="488"/>
      <c r="E7" s="89"/>
      <c r="G7" s="266"/>
      <c r="N7" s="489"/>
      <c r="Q7" s="87"/>
    </row>
    <row r="8" spans="1:27" ht="13.15" customHeight="1" x14ac:dyDescent="0.2">
      <c r="A8" s="488"/>
      <c r="E8" s="89"/>
      <c r="G8" s="266"/>
      <c r="H8" s="490" t="s">
        <v>467</v>
      </c>
      <c r="N8" s="489"/>
      <c r="Q8" s="87"/>
      <c r="AA8" s="87"/>
    </row>
    <row r="9" spans="1:27" ht="9" customHeight="1" x14ac:dyDescent="0.2">
      <c r="A9" s="488"/>
      <c r="E9" s="89"/>
      <c r="G9" s="266"/>
      <c r="N9" s="489"/>
      <c r="Q9" s="87"/>
    </row>
    <row r="10" spans="1:27" ht="14.45" customHeight="1" x14ac:dyDescent="0.2">
      <c r="A10" s="488"/>
      <c r="B10" s="85"/>
      <c r="C10" s="85"/>
      <c r="D10" s="85"/>
      <c r="E10" s="89"/>
      <c r="F10" s="85"/>
      <c r="G10" s="267"/>
      <c r="H10" s="85"/>
      <c r="J10" s="85"/>
      <c r="K10" s="85"/>
      <c r="L10" s="85"/>
      <c r="M10" s="85"/>
      <c r="N10" s="491"/>
    </row>
    <row r="11" spans="1:27" ht="12.75" customHeight="1" x14ac:dyDescent="0.2">
      <c r="A11" s="488" t="s">
        <v>25</v>
      </c>
      <c r="B11" s="174">
        <v>559.9083333333333</v>
      </c>
      <c r="C11" s="174">
        <v>339.22916666666669</v>
      </c>
      <c r="D11" s="174"/>
      <c r="E11" s="180">
        <v>702.91666666666663</v>
      </c>
      <c r="F11" s="174"/>
      <c r="G11" s="174">
        <v>1054</v>
      </c>
      <c r="H11" s="174">
        <v>592</v>
      </c>
      <c r="I11" s="174">
        <v>586.66666666666663</v>
      </c>
      <c r="J11" s="174">
        <v>571</v>
      </c>
      <c r="K11" s="174">
        <v>557</v>
      </c>
      <c r="L11" s="174">
        <v>520.83333333333337</v>
      </c>
      <c r="M11" s="174"/>
      <c r="N11" s="492">
        <v>476.75</v>
      </c>
    </row>
    <row r="12" spans="1:27" ht="12.75" customHeight="1" x14ac:dyDescent="0.2">
      <c r="A12" s="488" t="s">
        <v>157</v>
      </c>
      <c r="B12" s="174">
        <v>614.83333333333337</v>
      </c>
      <c r="C12" s="174">
        <v>371.75</v>
      </c>
      <c r="D12" s="174"/>
      <c r="E12" s="180">
        <v>702.75</v>
      </c>
      <c r="F12" s="174"/>
      <c r="G12" s="174">
        <v>1098</v>
      </c>
      <c r="H12" s="174">
        <v>564.83333333333337</v>
      </c>
      <c r="I12" s="174">
        <v>568.25</v>
      </c>
      <c r="J12" s="174">
        <v>527.5</v>
      </c>
      <c r="K12" s="174">
        <v>523</v>
      </c>
      <c r="L12" s="174">
        <v>514.66666666666663</v>
      </c>
      <c r="M12" s="174"/>
      <c r="N12" s="492">
        <v>410.16666666666669</v>
      </c>
    </row>
    <row r="13" spans="1:27" ht="12" customHeight="1" x14ac:dyDescent="0.2">
      <c r="A13" s="488" t="s">
        <v>156</v>
      </c>
      <c r="B13" s="174">
        <v>588.25</v>
      </c>
      <c r="C13" s="174">
        <v>379.66666666666669</v>
      </c>
      <c r="D13" s="174"/>
      <c r="E13" s="174">
        <v>838.18181818181813</v>
      </c>
      <c r="F13" s="174"/>
      <c r="G13" s="174">
        <v>1036</v>
      </c>
      <c r="H13" s="174">
        <v>428</v>
      </c>
      <c r="I13" s="174">
        <v>441.16666666666669</v>
      </c>
      <c r="J13" s="174">
        <v>386</v>
      </c>
      <c r="K13" s="174">
        <v>375</v>
      </c>
      <c r="L13" s="174">
        <v>349.16666666666669</v>
      </c>
      <c r="M13" s="174"/>
      <c r="N13" s="492">
        <v>399</v>
      </c>
    </row>
    <row r="14" spans="1:27" ht="12.75" customHeight="1" x14ac:dyDescent="0.2">
      <c r="A14" s="488" t="s">
        <v>155</v>
      </c>
      <c r="B14" s="174">
        <v>505.5</v>
      </c>
      <c r="C14" s="174">
        <v>277.75</v>
      </c>
      <c r="D14" s="174"/>
      <c r="E14" s="174">
        <v>911.33333333333337</v>
      </c>
      <c r="F14" s="174"/>
      <c r="G14" s="174">
        <v>932</v>
      </c>
      <c r="H14" s="174">
        <v>419.75</v>
      </c>
      <c r="I14" s="174">
        <v>407.91666666666669</v>
      </c>
      <c r="J14" s="174">
        <v>385.125</v>
      </c>
      <c r="K14" s="174">
        <v>369</v>
      </c>
      <c r="L14" s="174">
        <v>328.16666666666669</v>
      </c>
      <c r="M14" s="174"/>
      <c r="N14" s="492">
        <v>389</v>
      </c>
    </row>
    <row r="15" spans="1:27" ht="12.75" customHeight="1" x14ac:dyDescent="0.2">
      <c r="A15" s="488" t="s">
        <v>30</v>
      </c>
      <c r="B15" s="174">
        <v>521.66666666666663</v>
      </c>
      <c r="C15" s="174">
        <v>284.25</v>
      </c>
      <c r="D15" s="174"/>
      <c r="E15" s="174">
        <v>767.5</v>
      </c>
      <c r="F15" s="174"/>
      <c r="G15" s="174">
        <v>750</v>
      </c>
      <c r="H15" s="174">
        <v>386</v>
      </c>
      <c r="I15" s="174">
        <v>380.83333333333331</v>
      </c>
      <c r="J15" s="174">
        <v>366.25</v>
      </c>
      <c r="K15" s="174">
        <v>370</v>
      </c>
      <c r="L15" s="174">
        <v>321</v>
      </c>
      <c r="M15" s="174"/>
      <c r="N15" s="492">
        <v>364.16666666666669</v>
      </c>
    </row>
    <row r="16" spans="1:27" ht="12.75" customHeight="1" x14ac:dyDescent="0.2">
      <c r="A16" s="488" t="s">
        <v>250</v>
      </c>
      <c r="B16" s="174">
        <v>474</v>
      </c>
      <c r="C16" s="174">
        <v>253.58333333333334</v>
      </c>
      <c r="D16" s="174"/>
      <c r="E16" s="174">
        <v>611.08333333333337</v>
      </c>
      <c r="F16" s="174"/>
      <c r="G16" s="174">
        <v>640</v>
      </c>
      <c r="H16" s="174">
        <v>394.08333333333331</v>
      </c>
      <c r="I16" s="174">
        <v>387</v>
      </c>
      <c r="J16" s="174">
        <v>367.91666666666669</v>
      </c>
      <c r="K16" s="174">
        <v>356.41666666666669</v>
      </c>
      <c r="L16" s="184" t="s">
        <v>154</v>
      </c>
      <c r="M16" s="184"/>
      <c r="N16" s="492">
        <v>357.16666666666669</v>
      </c>
    </row>
    <row r="17" spans="1:14" ht="12.75" customHeight="1" x14ac:dyDescent="0.2">
      <c r="A17" s="488" t="s">
        <v>32</v>
      </c>
      <c r="B17" s="174">
        <v>583.75</v>
      </c>
      <c r="C17" s="174">
        <v>313</v>
      </c>
      <c r="D17" s="174"/>
      <c r="E17" s="174">
        <v>868.25</v>
      </c>
      <c r="F17" s="174"/>
      <c r="G17" s="174">
        <v>1040</v>
      </c>
      <c r="H17" s="174">
        <v>418.33333333333331</v>
      </c>
      <c r="I17" s="174">
        <v>412.33333333333331</v>
      </c>
      <c r="J17" s="174">
        <v>393.5</v>
      </c>
      <c r="K17" s="174">
        <v>384.91666666666669</v>
      </c>
      <c r="L17" s="184" t="s">
        <v>154</v>
      </c>
      <c r="M17" s="184"/>
      <c r="N17" s="492">
        <v>414.83333333333331</v>
      </c>
    </row>
    <row r="18" spans="1:14" ht="3.95" customHeight="1" x14ac:dyDescent="0.2">
      <c r="A18" s="488"/>
      <c r="B18" s="179"/>
      <c r="C18" s="179"/>
      <c r="D18" s="179"/>
      <c r="E18" s="179"/>
      <c r="F18" s="174"/>
      <c r="G18" s="174"/>
      <c r="H18" s="180"/>
      <c r="I18" s="180"/>
      <c r="J18" s="180"/>
      <c r="K18" s="180"/>
      <c r="L18" s="184"/>
      <c r="M18" s="184"/>
      <c r="N18" s="493"/>
    </row>
    <row r="19" spans="1:14" ht="12.75" customHeight="1" x14ac:dyDescent="0.2">
      <c r="A19" s="488" t="s">
        <v>254</v>
      </c>
      <c r="B19" s="174">
        <v>537.33333333333337</v>
      </c>
      <c r="C19" s="174">
        <v>285.25</v>
      </c>
      <c r="D19" s="174"/>
      <c r="E19" s="174">
        <v>866.16666666666663</v>
      </c>
      <c r="F19" s="174"/>
      <c r="G19" s="174">
        <v>1070</v>
      </c>
      <c r="H19" s="174">
        <v>398.58333333333331</v>
      </c>
      <c r="I19" s="174">
        <v>389</v>
      </c>
      <c r="J19" s="174">
        <v>381.66666666666669</v>
      </c>
      <c r="K19" s="174">
        <v>379.66666666666669</v>
      </c>
      <c r="L19" s="184" t="s">
        <v>154</v>
      </c>
      <c r="M19" s="184"/>
      <c r="N19" s="492">
        <v>378.91666666666669</v>
      </c>
    </row>
    <row r="20" spans="1:14" ht="6" customHeight="1" x14ac:dyDescent="0.2">
      <c r="A20" s="488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84"/>
      <c r="M20" s="184"/>
      <c r="N20" s="492"/>
    </row>
    <row r="21" spans="1:14" ht="12.75" customHeight="1" x14ac:dyDescent="0.2">
      <c r="A21" s="488" t="s">
        <v>255</v>
      </c>
      <c r="B21" s="174">
        <v>555</v>
      </c>
      <c r="C21" s="174">
        <v>290</v>
      </c>
      <c r="D21" s="174"/>
      <c r="E21" s="174">
        <v>825</v>
      </c>
      <c r="F21" s="174"/>
      <c r="G21" s="174">
        <v>1161</v>
      </c>
      <c r="H21" s="174">
        <v>422</v>
      </c>
      <c r="I21" s="174">
        <v>416</v>
      </c>
      <c r="J21" s="174">
        <v>406</v>
      </c>
      <c r="K21" s="174">
        <v>404</v>
      </c>
      <c r="L21" s="184" t="s">
        <v>154</v>
      </c>
      <c r="M21" s="184"/>
      <c r="N21" s="492">
        <v>344</v>
      </c>
    </row>
    <row r="22" spans="1:14" ht="12.75" customHeight="1" x14ac:dyDescent="0.2">
      <c r="A22" s="488" t="s">
        <v>256</v>
      </c>
      <c r="B22" s="174">
        <v>555</v>
      </c>
      <c r="C22" s="174">
        <v>296</v>
      </c>
      <c r="D22" s="174"/>
      <c r="E22" s="174">
        <v>825</v>
      </c>
      <c r="F22" s="174"/>
      <c r="G22" s="174">
        <v>1176</v>
      </c>
      <c r="H22" s="174">
        <v>418</v>
      </c>
      <c r="I22" s="174">
        <v>411</v>
      </c>
      <c r="J22" s="174">
        <v>403</v>
      </c>
      <c r="K22" s="174">
        <v>401</v>
      </c>
      <c r="L22" s="184" t="s">
        <v>154</v>
      </c>
      <c r="M22" s="184"/>
      <c r="N22" s="492">
        <v>325</v>
      </c>
    </row>
    <row r="23" spans="1:14" ht="12.75" customHeight="1" x14ac:dyDescent="0.2">
      <c r="A23" s="488" t="s">
        <v>258</v>
      </c>
      <c r="B23" s="174">
        <v>559</v>
      </c>
      <c r="C23" s="174">
        <v>295</v>
      </c>
      <c r="D23" s="174"/>
      <c r="E23" s="174">
        <v>814</v>
      </c>
      <c r="F23" s="174"/>
      <c r="G23" s="174">
        <v>1153</v>
      </c>
      <c r="H23" s="174">
        <v>407</v>
      </c>
      <c r="I23" s="174">
        <v>396</v>
      </c>
      <c r="J23" s="174">
        <v>391</v>
      </c>
      <c r="K23" s="174">
        <v>388</v>
      </c>
      <c r="L23" s="184" t="s">
        <v>154</v>
      </c>
      <c r="M23" s="184"/>
      <c r="N23" s="492">
        <v>350</v>
      </c>
    </row>
    <row r="24" spans="1:14" ht="12.75" customHeight="1" x14ac:dyDescent="0.2">
      <c r="A24" s="488" t="s">
        <v>257</v>
      </c>
      <c r="B24" s="174">
        <v>560</v>
      </c>
      <c r="C24" s="174">
        <v>298</v>
      </c>
      <c r="D24" s="174"/>
      <c r="E24" s="174">
        <v>810</v>
      </c>
      <c r="F24" s="174"/>
      <c r="G24" s="174">
        <v>1038</v>
      </c>
      <c r="H24" s="174">
        <v>405</v>
      </c>
      <c r="I24" s="174">
        <v>395</v>
      </c>
      <c r="J24" s="174">
        <v>389</v>
      </c>
      <c r="K24" s="174">
        <v>387</v>
      </c>
      <c r="L24" s="184" t="s">
        <v>154</v>
      </c>
      <c r="M24" s="184"/>
      <c r="N24" s="492">
        <v>348</v>
      </c>
    </row>
    <row r="25" spans="1:14" ht="12.75" customHeight="1" x14ac:dyDescent="0.2">
      <c r="A25" s="488" t="s">
        <v>259</v>
      </c>
      <c r="B25" s="174">
        <v>560</v>
      </c>
      <c r="C25" s="174">
        <v>310</v>
      </c>
      <c r="D25" s="174"/>
      <c r="E25" s="174">
        <v>818</v>
      </c>
      <c r="F25" s="174"/>
      <c r="G25" s="174">
        <v>1023</v>
      </c>
      <c r="H25" s="174">
        <v>412</v>
      </c>
      <c r="I25" s="174">
        <v>396</v>
      </c>
      <c r="J25" s="174">
        <v>395</v>
      </c>
      <c r="K25" s="174">
        <v>393</v>
      </c>
      <c r="L25" s="184" t="s">
        <v>154</v>
      </c>
      <c r="M25" s="184"/>
      <c r="N25" s="492">
        <v>348</v>
      </c>
    </row>
    <row r="26" spans="1:14" ht="12.75" customHeight="1" x14ac:dyDescent="0.2">
      <c r="A26" s="488" t="s">
        <v>260</v>
      </c>
      <c r="B26" s="174">
        <v>588</v>
      </c>
      <c r="C26" s="174">
        <v>326</v>
      </c>
      <c r="D26" s="174"/>
      <c r="E26" s="174">
        <v>825</v>
      </c>
      <c r="F26" s="174"/>
      <c r="G26" s="174">
        <v>1013</v>
      </c>
      <c r="H26" s="174">
        <v>439</v>
      </c>
      <c r="I26" s="174">
        <v>424</v>
      </c>
      <c r="J26" s="174">
        <v>423</v>
      </c>
      <c r="K26" s="174">
        <v>421</v>
      </c>
      <c r="L26" s="184" t="s">
        <v>154</v>
      </c>
      <c r="M26" s="184"/>
      <c r="N26" s="492">
        <v>351</v>
      </c>
    </row>
    <row r="27" spans="1:14" ht="12.75" customHeight="1" x14ac:dyDescent="0.2">
      <c r="A27" s="488" t="s">
        <v>261</v>
      </c>
      <c r="B27" s="174">
        <v>610</v>
      </c>
      <c r="C27" s="174">
        <v>339</v>
      </c>
      <c r="D27" s="174"/>
      <c r="E27" s="174">
        <v>836</v>
      </c>
      <c r="F27" s="174"/>
      <c r="G27" s="174">
        <v>1011</v>
      </c>
      <c r="H27" s="174">
        <v>437</v>
      </c>
      <c r="I27" s="174">
        <v>430</v>
      </c>
      <c r="J27" s="174">
        <v>421</v>
      </c>
      <c r="K27" s="174">
        <v>419</v>
      </c>
      <c r="L27" s="184" t="s">
        <v>154</v>
      </c>
      <c r="M27" s="184"/>
      <c r="N27" s="492">
        <v>358</v>
      </c>
    </row>
    <row r="28" spans="1:14" ht="12.75" customHeight="1" x14ac:dyDescent="0.2">
      <c r="A28" s="488" t="s">
        <v>265</v>
      </c>
      <c r="B28" s="174">
        <v>624</v>
      </c>
      <c r="C28" s="174">
        <v>345</v>
      </c>
      <c r="D28" s="174"/>
      <c r="E28" s="174">
        <v>848</v>
      </c>
      <c r="F28" s="174"/>
      <c r="G28" s="174">
        <v>985</v>
      </c>
      <c r="H28" s="174">
        <v>483</v>
      </c>
      <c r="I28" s="174">
        <v>477</v>
      </c>
      <c r="J28" s="174">
        <v>470</v>
      </c>
      <c r="K28" s="174">
        <v>468</v>
      </c>
      <c r="L28" s="184" t="s">
        <v>154</v>
      </c>
      <c r="M28" s="184"/>
      <c r="N28" s="492">
        <v>410</v>
      </c>
    </row>
    <row r="29" spans="1:14" ht="13.5" customHeight="1" x14ac:dyDescent="0.2">
      <c r="A29" s="488" t="s">
        <v>269</v>
      </c>
      <c r="B29" s="174">
        <v>671</v>
      </c>
      <c r="C29" s="174">
        <v>388</v>
      </c>
      <c r="D29" s="174"/>
      <c r="E29" s="174">
        <v>899</v>
      </c>
      <c r="F29" s="174"/>
      <c r="G29" s="174">
        <v>1109</v>
      </c>
      <c r="H29" s="174">
        <v>564</v>
      </c>
      <c r="I29" s="174">
        <v>549</v>
      </c>
      <c r="J29" s="174">
        <v>548</v>
      </c>
      <c r="K29" s="174">
        <v>546</v>
      </c>
      <c r="L29" s="184" t="s">
        <v>154</v>
      </c>
      <c r="M29" s="184"/>
      <c r="N29" s="492">
        <v>470</v>
      </c>
    </row>
    <row r="30" spans="1:14" ht="13.5" customHeight="1" x14ac:dyDescent="0.2">
      <c r="A30" s="488" t="s">
        <v>270</v>
      </c>
      <c r="B30" s="174">
        <v>675</v>
      </c>
      <c r="C30" s="174">
        <v>425</v>
      </c>
      <c r="D30" s="174"/>
      <c r="E30" s="174">
        <v>938</v>
      </c>
      <c r="F30" s="174"/>
      <c r="G30" s="174">
        <v>1075</v>
      </c>
      <c r="H30" s="174">
        <v>512</v>
      </c>
      <c r="I30" s="174">
        <v>497</v>
      </c>
      <c r="J30" s="174">
        <v>496</v>
      </c>
      <c r="K30" s="174">
        <v>494</v>
      </c>
      <c r="L30" s="184" t="s">
        <v>154</v>
      </c>
      <c r="M30" s="184"/>
      <c r="N30" s="492">
        <v>470</v>
      </c>
    </row>
    <row r="31" spans="1:14" ht="13.5" customHeight="1" x14ac:dyDescent="0.2">
      <c r="A31" s="488" t="s">
        <v>277</v>
      </c>
      <c r="B31" s="174">
        <v>675</v>
      </c>
      <c r="C31" s="174">
        <v>425</v>
      </c>
      <c r="D31" s="174"/>
      <c r="E31" s="174">
        <v>938</v>
      </c>
      <c r="F31" s="174"/>
      <c r="G31" s="174">
        <v>1044</v>
      </c>
      <c r="H31" s="174">
        <v>513</v>
      </c>
      <c r="I31" s="174">
        <v>505</v>
      </c>
      <c r="J31" s="174">
        <v>497</v>
      </c>
      <c r="K31" s="174">
        <v>495</v>
      </c>
      <c r="L31" s="184" t="s">
        <v>154</v>
      </c>
      <c r="M31" s="184"/>
      <c r="N31" s="492">
        <v>425</v>
      </c>
    </row>
    <row r="32" spans="1:14" ht="13.5" customHeight="1" x14ac:dyDescent="0.2">
      <c r="A32" s="488" t="s">
        <v>280</v>
      </c>
      <c r="B32" s="174">
        <v>675</v>
      </c>
      <c r="C32" s="174">
        <v>425</v>
      </c>
      <c r="D32" s="174"/>
      <c r="E32" s="174">
        <v>921</v>
      </c>
      <c r="F32" s="174"/>
      <c r="G32" s="174">
        <v>990</v>
      </c>
      <c r="H32" s="174">
        <v>467</v>
      </c>
      <c r="I32" s="174">
        <v>460</v>
      </c>
      <c r="J32" s="174">
        <v>457</v>
      </c>
      <c r="K32" s="174">
        <v>449</v>
      </c>
      <c r="L32" s="184" t="s">
        <v>154</v>
      </c>
      <c r="M32" s="184"/>
      <c r="N32" s="492">
        <v>449</v>
      </c>
    </row>
    <row r="33" spans="1:14" ht="4.3499999999999996" customHeight="1" x14ac:dyDescent="0.2">
      <c r="A33" s="488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84"/>
      <c r="M33" s="184"/>
      <c r="N33" s="492"/>
    </row>
    <row r="34" spans="1:14" ht="12.75" customHeight="1" x14ac:dyDescent="0.2">
      <c r="A34" s="488" t="s">
        <v>281</v>
      </c>
      <c r="B34" s="174">
        <f>AVERAGE(B21:B32)</f>
        <v>608.91666666666663</v>
      </c>
      <c r="C34" s="174">
        <f t="shared" ref="C34:K34" si="0">AVERAGE(C21:C32)</f>
        <v>346.83333333333331</v>
      </c>
      <c r="D34" s="174"/>
      <c r="E34" s="174">
        <f t="shared" si="0"/>
        <v>858.08333333333337</v>
      </c>
      <c r="F34" s="174"/>
      <c r="G34" s="174">
        <v>1065</v>
      </c>
      <c r="H34" s="174">
        <f t="shared" si="0"/>
        <v>456.58333333333331</v>
      </c>
      <c r="I34" s="174">
        <f t="shared" si="0"/>
        <v>446.33333333333331</v>
      </c>
      <c r="J34" s="174">
        <f t="shared" si="0"/>
        <v>441.33333333333331</v>
      </c>
      <c r="K34" s="174">
        <f t="shared" si="0"/>
        <v>438.75</v>
      </c>
      <c r="L34" s="184" t="s">
        <v>154</v>
      </c>
      <c r="M34" s="184"/>
      <c r="N34" s="492">
        <f>AVERAGE(N21:N32)</f>
        <v>387.33333333333331</v>
      </c>
    </row>
    <row r="35" spans="1:14" ht="7.5" customHeight="1" x14ac:dyDescent="0.2">
      <c r="A35" s="488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84"/>
      <c r="M35" s="184"/>
      <c r="N35" s="492"/>
    </row>
    <row r="36" spans="1:14" ht="12.75" customHeight="1" x14ac:dyDescent="0.2">
      <c r="A36" s="488" t="s">
        <v>284</v>
      </c>
      <c r="B36" s="174">
        <v>625</v>
      </c>
      <c r="C36" s="174">
        <v>310</v>
      </c>
      <c r="D36" s="174"/>
      <c r="E36" s="174">
        <v>905</v>
      </c>
      <c r="F36" s="174"/>
      <c r="G36" s="174">
        <v>971</v>
      </c>
      <c r="H36" s="174">
        <v>492</v>
      </c>
      <c r="I36" s="174">
        <v>488</v>
      </c>
      <c r="J36" s="174">
        <v>477</v>
      </c>
      <c r="K36" s="174">
        <v>465</v>
      </c>
      <c r="L36" s="184" t="s">
        <v>154</v>
      </c>
      <c r="M36" s="184"/>
      <c r="N36" s="492">
        <v>485</v>
      </c>
    </row>
    <row r="37" spans="1:14" ht="12.75" customHeight="1" x14ac:dyDescent="0.2">
      <c r="A37" s="488" t="s">
        <v>285</v>
      </c>
      <c r="B37" s="174">
        <v>625</v>
      </c>
      <c r="C37" s="174">
        <v>320</v>
      </c>
      <c r="D37" s="174"/>
      <c r="E37" s="174">
        <v>905</v>
      </c>
      <c r="F37" s="174"/>
      <c r="G37" s="174">
        <v>856</v>
      </c>
      <c r="H37" s="174">
        <v>491</v>
      </c>
      <c r="I37" s="174">
        <v>488</v>
      </c>
      <c r="J37" s="174">
        <v>476</v>
      </c>
      <c r="K37" s="174">
        <v>474</v>
      </c>
      <c r="L37" s="184" t="s">
        <v>154</v>
      </c>
      <c r="M37" s="184"/>
      <c r="N37" s="492">
        <v>467</v>
      </c>
    </row>
    <row r="38" spans="1:14" ht="12.75" customHeight="1" x14ac:dyDescent="0.2">
      <c r="A38" s="488" t="s">
        <v>286</v>
      </c>
      <c r="B38" s="174">
        <v>625</v>
      </c>
      <c r="C38" s="174">
        <v>320</v>
      </c>
      <c r="D38" s="174"/>
      <c r="E38" s="174">
        <v>846</v>
      </c>
      <c r="F38" s="174"/>
      <c r="G38" s="174">
        <v>804</v>
      </c>
      <c r="H38" s="174">
        <v>461</v>
      </c>
      <c r="I38" s="174">
        <v>457</v>
      </c>
      <c r="J38" s="174">
        <v>446</v>
      </c>
      <c r="K38" s="174">
        <v>445</v>
      </c>
      <c r="L38" s="184" t="s">
        <v>154</v>
      </c>
      <c r="M38" s="184"/>
      <c r="N38" s="492">
        <v>480</v>
      </c>
    </row>
    <row r="39" spans="1:14" ht="12.75" customHeight="1" x14ac:dyDescent="0.2">
      <c r="A39" s="488" t="s">
        <v>293</v>
      </c>
      <c r="B39" s="174">
        <v>625</v>
      </c>
      <c r="C39" s="174">
        <v>320</v>
      </c>
      <c r="D39" s="174"/>
      <c r="E39" s="174">
        <v>835</v>
      </c>
      <c r="F39" s="174"/>
      <c r="G39" s="174">
        <v>792</v>
      </c>
      <c r="H39" s="174">
        <v>479</v>
      </c>
      <c r="I39" s="174">
        <v>471</v>
      </c>
      <c r="J39" s="174">
        <v>462</v>
      </c>
      <c r="K39" s="174">
        <v>460</v>
      </c>
      <c r="L39" s="184" t="s">
        <v>154</v>
      </c>
      <c r="M39" s="184"/>
      <c r="N39" s="492">
        <v>502</v>
      </c>
    </row>
    <row r="40" spans="1:14" ht="12.75" customHeight="1" x14ac:dyDescent="0.2">
      <c r="A40" s="488" t="s">
        <v>295</v>
      </c>
      <c r="B40" s="174">
        <v>625</v>
      </c>
      <c r="C40" s="174">
        <v>320</v>
      </c>
      <c r="D40" s="174"/>
      <c r="E40" s="174">
        <v>835</v>
      </c>
      <c r="F40" s="174"/>
      <c r="G40" s="174">
        <v>818</v>
      </c>
      <c r="H40" s="174">
        <v>512</v>
      </c>
      <c r="I40" s="174">
        <v>503</v>
      </c>
      <c r="J40" s="174">
        <v>494</v>
      </c>
      <c r="K40" s="174">
        <v>493</v>
      </c>
      <c r="L40" s="184" t="s">
        <v>154</v>
      </c>
      <c r="M40" s="184"/>
      <c r="N40" s="492">
        <v>502</v>
      </c>
    </row>
    <row r="41" spans="1:14" ht="12.75" customHeight="1" x14ac:dyDescent="0.2">
      <c r="A41" s="488" t="s">
        <v>299</v>
      </c>
      <c r="B41" s="174">
        <v>625</v>
      </c>
      <c r="C41" s="174">
        <v>326</v>
      </c>
      <c r="D41" s="174"/>
      <c r="E41" s="174">
        <v>835</v>
      </c>
      <c r="F41" s="174"/>
      <c r="G41" s="174">
        <v>826</v>
      </c>
      <c r="H41" s="174">
        <v>530</v>
      </c>
      <c r="I41" s="174">
        <v>519</v>
      </c>
      <c r="J41" s="174">
        <v>512</v>
      </c>
      <c r="K41" s="174">
        <v>511</v>
      </c>
      <c r="L41" s="184" t="s">
        <v>154</v>
      </c>
      <c r="M41" s="184"/>
      <c r="N41" s="492">
        <v>520</v>
      </c>
    </row>
    <row r="42" spans="1:14" ht="13.5" customHeight="1" x14ac:dyDescent="0.2">
      <c r="A42" s="488" t="s">
        <v>305</v>
      </c>
      <c r="B42" s="174">
        <v>625</v>
      </c>
      <c r="C42" s="174">
        <v>328</v>
      </c>
      <c r="D42" s="174"/>
      <c r="E42" s="174">
        <v>848</v>
      </c>
      <c r="F42" s="174"/>
      <c r="G42" s="174">
        <v>823</v>
      </c>
      <c r="H42" s="174">
        <v>552</v>
      </c>
      <c r="I42" s="174">
        <v>536</v>
      </c>
      <c r="J42" s="174">
        <v>534</v>
      </c>
      <c r="K42" s="174">
        <v>533</v>
      </c>
      <c r="L42" s="184" t="s">
        <v>154</v>
      </c>
      <c r="M42" s="184"/>
      <c r="N42" s="492">
        <v>520</v>
      </c>
    </row>
    <row r="43" spans="1:14" ht="13.5" customHeight="1" x14ac:dyDescent="0.2">
      <c r="A43" s="488" t="s">
        <v>304</v>
      </c>
      <c r="B43" s="174">
        <v>625</v>
      </c>
      <c r="C43" s="174">
        <v>321</v>
      </c>
      <c r="D43" s="174"/>
      <c r="E43" s="174">
        <v>912</v>
      </c>
      <c r="F43" s="174"/>
      <c r="G43" s="174">
        <v>810</v>
      </c>
      <c r="H43" s="174">
        <v>516</v>
      </c>
      <c r="I43" s="174">
        <v>501</v>
      </c>
      <c r="J43" s="174">
        <v>500</v>
      </c>
      <c r="K43" s="174">
        <v>499</v>
      </c>
      <c r="L43" s="184" t="s">
        <v>154</v>
      </c>
      <c r="M43" s="184"/>
      <c r="N43" s="492">
        <v>511</v>
      </c>
    </row>
    <row r="44" spans="1:14" ht="13.5" customHeight="1" x14ac:dyDescent="0.2">
      <c r="A44" s="488" t="s">
        <v>303</v>
      </c>
      <c r="B44" s="174">
        <v>628</v>
      </c>
      <c r="C44" s="174">
        <v>321</v>
      </c>
      <c r="D44" s="174"/>
      <c r="E44" s="174">
        <v>945</v>
      </c>
      <c r="F44" s="174"/>
      <c r="G44" s="174">
        <v>771</v>
      </c>
      <c r="H44" s="174">
        <v>486</v>
      </c>
      <c r="I44" s="174">
        <v>469</v>
      </c>
      <c r="J44" s="174">
        <v>471</v>
      </c>
      <c r="K44" s="174">
        <v>470</v>
      </c>
      <c r="L44" s="184" t="s">
        <v>154</v>
      </c>
      <c r="M44" s="184"/>
      <c r="N44" s="492">
        <v>489</v>
      </c>
    </row>
    <row r="45" spans="1:14" ht="13.5" customHeight="1" x14ac:dyDescent="0.2">
      <c r="A45" s="494" t="s">
        <v>312</v>
      </c>
      <c r="B45" s="174">
        <v>630</v>
      </c>
      <c r="C45" s="174">
        <v>325</v>
      </c>
      <c r="D45" s="174"/>
      <c r="E45" s="174">
        <v>983</v>
      </c>
      <c r="F45" s="174"/>
      <c r="G45" s="174">
        <v>718</v>
      </c>
      <c r="H45" s="174">
        <v>486</v>
      </c>
      <c r="I45" s="174">
        <v>475</v>
      </c>
      <c r="J45" s="174">
        <v>470</v>
      </c>
      <c r="K45" s="174">
        <v>468</v>
      </c>
      <c r="L45" s="184" t="s">
        <v>154</v>
      </c>
      <c r="M45" s="184"/>
      <c r="N45" s="492">
        <v>493</v>
      </c>
    </row>
    <row r="46" spans="1:14" ht="13.5" customHeight="1" x14ac:dyDescent="0.2">
      <c r="A46" s="494" t="s">
        <v>322</v>
      </c>
      <c r="B46" s="174">
        <v>630</v>
      </c>
      <c r="C46" s="174">
        <v>320</v>
      </c>
      <c r="D46" s="174"/>
      <c r="E46" s="174">
        <v>1052</v>
      </c>
      <c r="F46" s="174"/>
      <c r="G46" s="174">
        <v>660</v>
      </c>
      <c r="H46" s="174">
        <v>460</v>
      </c>
      <c r="I46" s="174">
        <v>451</v>
      </c>
      <c r="J46" s="174">
        <v>443</v>
      </c>
      <c r="K46" s="174">
        <v>442</v>
      </c>
      <c r="L46" s="184" t="s">
        <v>154</v>
      </c>
      <c r="M46" s="184"/>
      <c r="N46" s="492">
        <v>449</v>
      </c>
    </row>
    <row r="47" spans="1:14" ht="13.5" customHeight="1" x14ac:dyDescent="0.2">
      <c r="A47" s="494" t="s">
        <v>326</v>
      </c>
      <c r="B47" s="179">
        <v>610</v>
      </c>
      <c r="C47" s="179">
        <v>327</v>
      </c>
      <c r="D47" s="179"/>
      <c r="E47" s="179">
        <v>1100</v>
      </c>
      <c r="F47" s="174"/>
      <c r="G47" s="174">
        <v>619</v>
      </c>
      <c r="H47" s="174">
        <v>421</v>
      </c>
      <c r="I47" s="174">
        <v>412</v>
      </c>
      <c r="J47" s="174">
        <v>402</v>
      </c>
      <c r="K47" s="174">
        <v>401</v>
      </c>
      <c r="L47" s="184" t="s">
        <v>154</v>
      </c>
      <c r="M47" s="184"/>
      <c r="N47" s="493">
        <v>397</v>
      </c>
    </row>
    <row r="48" spans="1:14" ht="4.5" customHeight="1" x14ac:dyDescent="0.2">
      <c r="A48" s="488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84"/>
      <c r="M48" s="184"/>
      <c r="N48" s="492"/>
    </row>
    <row r="49" spans="1:14" ht="12" customHeight="1" x14ac:dyDescent="0.2">
      <c r="A49" s="494" t="s">
        <v>342</v>
      </c>
      <c r="B49" s="174">
        <f>AVERAGE(B36:B48)</f>
        <v>624.83333333333337</v>
      </c>
      <c r="C49" s="174">
        <f>AVERAGE(C36:C48)</f>
        <v>321.5</v>
      </c>
      <c r="D49" s="174"/>
      <c r="E49" s="174">
        <f>AVERAGE(E36:E48)</f>
        <v>916.75</v>
      </c>
      <c r="F49" s="174"/>
      <c r="G49" s="174">
        <f>AVERAGE(G36:G48)</f>
        <v>789</v>
      </c>
      <c r="H49" s="174">
        <f>AVERAGE(H36:H48)</f>
        <v>490.5</v>
      </c>
      <c r="I49" s="174">
        <f>AVERAGE(I36:I48)</f>
        <v>480.83333333333331</v>
      </c>
      <c r="J49" s="174">
        <f>AVERAGE(J36:J48)</f>
        <v>473.91666666666669</v>
      </c>
      <c r="K49" s="174">
        <f>AVERAGE(K36:K48)</f>
        <v>471.75</v>
      </c>
      <c r="L49" s="184" t="s">
        <v>154</v>
      </c>
      <c r="M49" s="184"/>
      <c r="N49" s="492">
        <f>AVERAGE(N36:N48)</f>
        <v>484.58333333333331</v>
      </c>
    </row>
    <row r="50" spans="1:14" ht="5.0999999999999996" customHeight="1" x14ac:dyDescent="0.2">
      <c r="A50" s="488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84"/>
      <c r="M50" s="184"/>
      <c r="N50" s="492"/>
    </row>
    <row r="51" spans="1:14" ht="12.75" customHeight="1" x14ac:dyDescent="0.2">
      <c r="A51" s="494" t="s">
        <v>328</v>
      </c>
      <c r="B51" s="174">
        <v>600</v>
      </c>
      <c r="C51" s="174">
        <v>340</v>
      </c>
      <c r="D51" s="174"/>
      <c r="E51" s="174">
        <v>1100</v>
      </c>
      <c r="F51" s="174"/>
      <c r="G51" s="174">
        <v>619</v>
      </c>
      <c r="H51" s="174">
        <v>397</v>
      </c>
      <c r="I51" s="174">
        <v>387</v>
      </c>
      <c r="J51" s="174">
        <v>377</v>
      </c>
      <c r="K51" s="174">
        <v>372</v>
      </c>
      <c r="L51" s="184" t="s">
        <v>154</v>
      </c>
      <c r="M51" s="184"/>
      <c r="N51" s="492">
        <v>392</v>
      </c>
    </row>
    <row r="52" spans="1:14" ht="12.75" customHeight="1" x14ac:dyDescent="0.2">
      <c r="A52" s="494" t="s">
        <v>333</v>
      </c>
      <c r="B52" s="174">
        <v>600</v>
      </c>
      <c r="C52" s="174">
        <v>345</v>
      </c>
      <c r="D52" s="174"/>
      <c r="E52" s="174">
        <v>1125</v>
      </c>
      <c r="F52" s="174"/>
      <c r="G52" s="174">
        <v>657</v>
      </c>
      <c r="H52" s="174">
        <v>396</v>
      </c>
      <c r="I52" s="174">
        <v>386</v>
      </c>
      <c r="J52" s="174">
        <v>375</v>
      </c>
      <c r="K52" s="174">
        <v>372</v>
      </c>
      <c r="L52" s="184" t="s">
        <v>154</v>
      </c>
      <c r="M52" s="184"/>
      <c r="N52" s="492">
        <v>416</v>
      </c>
    </row>
    <row r="53" spans="1:14" ht="12.75" customHeight="1" x14ac:dyDescent="0.2">
      <c r="A53" s="494" t="s">
        <v>336</v>
      </c>
      <c r="B53" s="174">
        <v>600</v>
      </c>
      <c r="C53" s="174">
        <v>350</v>
      </c>
      <c r="D53" s="174"/>
      <c r="E53" s="174">
        <v>1125</v>
      </c>
      <c r="F53" s="174"/>
      <c r="G53" s="174">
        <v>654</v>
      </c>
      <c r="H53" s="174">
        <v>398</v>
      </c>
      <c r="I53" s="174">
        <v>389</v>
      </c>
      <c r="J53" s="174">
        <v>377</v>
      </c>
      <c r="K53" s="174">
        <v>376</v>
      </c>
      <c r="L53" s="184" t="s">
        <v>154</v>
      </c>
      <c r="M53" s="184"/>
      <c r="N53" s="492">
        <v>436</v>
      </c>
    </row>
    <row r="54" spans="1:14" ht="12.75" customHeight="1" x14ac:dyDescent="0.2">
      <c r="A54" s="494" t="s">
        <v>338</v>
      </c>
      <c r="B54" s="174">
        <v>600</v>
      </c>
      <c r="C54" s="174">
        <v>349</v>
      </c>
      <c r="D54" s="174"/>
      <c r="E54" s="174">
        <v>1125</v>
      </c>
      <c r="F54" s="174"/>
      <c r="G54" s="174">
        <v>632</v>
      </c>
      <c r="H54" s="174">
        <v>394</v>
      </c>
      <c r="I54" s="174">
        <v>384</v>
      </c>
      <c r="J54" s="174">
        <v>374</v>
      </c>
      <c r="K54" s="174">
        <v>375</v>
      </c>
      <c r="L54" s="184" t="s">
        <v>154</v>
      </c>
      <c r="M54" s="184"/>
      <c r="N54" s="492">
        <v>430</v>
      </c>
    </row>
    <row r="55" spans="1:14" ht="12.75" customHeight="1" x14ac:dyDescent="0.2">
      <c r="A55" s="494" t="s">
        <v>339</v>
      </c>
      <c r="B55" s="174">
        <v>600</v>
      </c>
      <c r="C55" s="174">
        <v>345</v>
      </c>
      <c r="D55" s="174"/>
      <c r="E55" s="174">
        <v>1125</v>
      </c>
      <c r="F55" s="174"/>
      <c r="G55" s="174">
        <v>648</v>
      </c>
      <c r="H55" s="174">
        <v>396</v>
      </c>
      <c r="I55" s="174">
        <v>383</v>
      </c>
      <c r="J55" s="174">
        <v>375</v>
      </c>
      <c r="K55" s="174">
        <v>375</v>
      </c>
      <c r="L55" s="184" t="s">
        <v>154</v>
      </c>
      <c r="M55" s="184"/>
      <c r="N55" s="492">
        <v>408</v>
      </c>
    </row>
    <row r="56" spans="1:14" ht="12.75" customHeight="1" x14ac:dyDescent="0.2">
      <c r="A56" s="494" t="s">
        <v>370</v>
      </c>
      <c r="B56" s="174">
        <v>607</v>
      </c>
      <c r="C56" s="174">
        <v>357</v>
      </c>
      <c r="D56" s="174"/>
      <c r="E56" s="174">
        <v>1201</v>
      </c>
      <c r="F56" s="174"/>
      <c r="G56" s="174">
        <v>688</v>
      </c>
      <c r="H56" s="174">
        <v>415</v>
      </c>
      <c r="I56" s="174">
        <v>399</v>
      </c>
      <c r="J56" s="174">
        <v>393</v>
      </c>
      <c r="K56" s="174">
        <v>390</v>
      </c>
      <c r="L56" s="184" t="s">
        <v>154</v>
      </c>
      <c r="M56" s="184"/>
      <c r="N56" s="492">
        <v>398</v>
      </c>
    </row>
    <row r="57" spans="1:14" ht="12.75" customHeight="1" x14ac:dyDescent="0.2">
      <c r="A57" s="494" t="s">
        <v>348</v>
      </c>
      <c r="B57" s="174">
        <v>641</v>
      </c>
      <c r="C57" s="174">
        <v>373</v>
      </c>
      <c r="D57" s="174"/>
      <c r="E57" s="174">
        <v>1211</v>
      </c>
      <c r="F57" s="174"/>
      <c r="G57" s="174">
        <v>751</v>
      </c>
      <c r="H57" s="174">
        <v>421</v>
      </c>
      <c r="I57" s="174">
        <v>407</v>
      </c>
      <c r="J57" s="174">
        <v>397</v>
      </c>
      <c r="K57" s="174">
        <v>394</v>
      </c>
      <c r="L57" s="184" t="s">
        <v>154</v>
      </c>
      <c r="M57" s="184"/>
      <c r="N57" s="492">
        <v>400</v>
      </c>
    </row>
    <row r="58" spans="1:14" ht="12.75" customHeight="1" x14ac:dyDescent="0.2">
      <c r="A58" s="494" t="s">
        <v>352</v>
      </c>
      <c r="B58" s="174">
        <v>658</v>
      </c>
      <c r="C58" s="174">
        <v>403</v>
      </c>
      <c r="D58" s="174"/>
      <c r="E58" s="174">
        <v>1220</v>
      </c>
      <c r="F58" s="174"/>
      <c r="G58" s="174">
        <v>746</v>
      </c>
      <c r="H58" s="174">
        <v>432</v>
      </c>
      <c r="I58" s="174">
        <v>425</v>
      </c>
      <c r="J58" s="174">
        <v>411</v>
      </c>
      <c r="K58" s="174">
        <v>408</v>
      </c>
      <c r="L58" s="184" t="s">
        <v>154</v>
      </c>
      <c r="M58" s="184"/>
      <c r="N58" s="492">
        <v>415</v>
      </c>
    </row>
    <row r="59" spans="1:14" ht="12.75" customHeight="1" x14ac:dyDescent="0.2">
      <c r="A59" s="494" t="s">
        <v>369</v>
      </c>
      <c r="B59" s="174">
        <v>668</v>
      </c>
      <c r="C59" s="174">
        <v>403</v>
      </c>
      <c r="D59" s="174"/>
      <c r="E59" s="174">
        <v>1293</v>
      </c>
      <c r="F59" s="174"/>
      <c r="G59" s="174">
        <v>785</v>
      </c>
      <c r="H59" s="174">
        <v>424</v>
      </c>
      <c r="I59" s="174">
        <v>417</v>
      </c>
      <c r="J59" s="174">
        <v>403</v>
      </c>
      <c r="K59" s="174">
        <v>400</v>
      </c>
      <c r="L59" s="184" t="s">
        <v>154</v>
      </c>
      <c r="M59" s="184"/>
      <c r="N59" s="492">
        <v>416</v>
      </c>
    </row>
    <row r="60" spans="1:14" ht="12.75" customHeight="1" x14ac:dyDescent="0.2">
      <c r="A60" s="494" t="s">
        <v>371</v>
      </c>
      <c r="B60" s="174">
        <v>687</v>
      </c>
      <c r="C60" s="174">
        <v>414</v>
      </c>
      <c r="D60" s="174"/>
      <c r="E60" s="174">
        <v>1383</v>
      </c>
      <c r="F60" s="174"/>
      <c r="G60" s="174">
        <v>919</v>
      </c>
      <c r="H60" s="174">
        <v>457</v>
      </c>
      <c r="I60" s="174">
        <v>433</v>
      </c>
      <c r="J60" s="174">
        <v>436</v>
      </c>
      <c r="K60" s="174">
        <v>432</v>
      </c>
      <c r="L60" s="184" t="s">
        <v>154</v>
      </c>
      <c r="M60" s="184"/>
      <c r="N60" s="492">
        <v>419</v>
      </c>
    </row>
    <row r="61" spans="1:14" ht="12.75" customHeight="1" x14ac:dyDescent="0.2">
      <c r="A61" s="494" t="s">
        <v>376</v>
      </c>
      <c r="B61" s="174">
        <v>703</v>
      </c>
      <c r="C61" s="174">
        <v>413</v>
      </c>
      <c r="D61" s="174"/>
      <c r="E61" s="174">
        <v>1410</v>
      </c>
      <c r="F61" s="174"/>
      <c r="G61" s="174">
        <v>876</v>
      </c>
      <c r="H61" s="174">
        <v>441</v>
      </c>
      <c r="I61" s="174">
        <v>431</v>
      </c>
      <c r="J61" s="174">
        <v>420</v>
      </c>
      <c r="K61" s="174">
        <v>416</v>
      </c>
      <c r="L61" s="184" t="s">
        <v>154</v>
      </c>
      <c r="M61" s="184"/>
      <c r="N61" s="492">
        <v>423</v>
      </c>
    </row>
    <row r="62" spans="1:14" ht="12.75" customHeight="1" x14ac:dyDescent="0.2">
      <c r="A62" s="494" t="s">
        <v>377</v>
      </c>
      <c r="B62" s="184">
        <v>706</v>
      </c>
      <c r="C62" s="184">
        <v>420</v>
      </c>
      <c r="D62" s="184"/>
      <c r="E62" s="184">
        <v>1445</v>
      </c>
      <c r="F62" s="174"/>
      <c r="G62" s="174">
        <v>835</v>
      </c>
      <c r="H62" s="174">
        <v>421</v>
      </c>
      <c r="I62" s="174">
        <v>413</v>
      </c>
      <c r="J62" s="174">
        <v>400</v>
      </c>
      <c r="K62" s="174">
        <v>396</v>
      </c>
      <c r="L62" s="184" t="s">
        <v>154</v>
      </c>
      <c r="M62" s="184"/>
      <c r="N62" s="495">
        <v>407</v>
      </c>
    </row>
    <row r="63" spans="1:14" ht="3.95" customHeight="1" x14ac:dyDescent="0.2">
      <c r="A63" s="494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84"/>
      <c r="M63" s="184"/>
      <c r="N63" s="492"/>
    </row>
    <row r="64" spans="1:14" ht="12.75" customHeight="1" x14ac:dyDescent="0.2">
      <c r="A64" s="494" t="s">
        <v>368</v>
      </c>
      <c r="B64" s="174">
        <f>AVERAGE(B51:B63)</f>
        <v>639.16666666666663</v>
      </c>
      <c r="C64" s="174">
        <f>AVERAGE(C51:C63)</f>
        <v>376</v>
      </c>
      <c r="D64" s="174"/>
      <c r="E64" s="174">
        <f>AVERAGE(E51:E63)</f>
        <v>1230.25</v>
      </c>
      <c r="F64" s="174"/>
      <c r="G64" s="174">
        <f>AVERAGE(G51:G63)</f>
        <v>734.16666666666663</v>
      </c>
      <c r="H64" s="174">
        <f>AVERAGE(H51:H63)</f>
        <v>416</v>
      </c>
      <c r="I64" s="174">
        <f>AVERAGE(I51:I63)</f>
        <v>404.5</v>
      </c>
      <c r="J64" s="174">
        <f>AVERAGE(J51:J63)</f>
        <v>394.83333333333331</v>
      </c>
      <c r="K64" s="174">
        <f>AVERAGE(K51:K63)</f>
        <v>392.16666666666669</v>
      </c>
      <c r="L64" s="184" t="s">
        <v>154</v>
      </c>
      <c r="M64" s="184"/>
      <c r="N64" s="492">
        <f>AVERAGE(N51:N63)</f>
        <v>413.33333333333331</v>
      </c>
    </row>
    <row r="65" spans="1:14" ht="6" customHeight="1" x14ac:dyDescent="0.2">
      <c r="A65" s="488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84"/>
      <c r="M65" s="184"/>
      <c r="N65" s="492"/>
    </row>
    <row r="66" spans="1:14" ht="12.75" customHeight="1" x14ac:dyDescent="0.2">
      <c r="A66" s="494" t="s">
        <v>378</v>
      </c>
      <c r="B66" s="174">
        <v>712</v>
      </c>
      <c r="C66" s="174">
        <v>421</v>
      </c>
      <c r="D66" s="174"/>
      <c r="E66" s="174">
        <v>1550</v>
      </c>
      <c r="F66" s="174"/>
      <c r="G66" s="174">
        <v>834</v>
      </c>
      <c r="H66" s="174">
        <v>422</v>
      </c>
      <c r="I66" s="174">
        <v>411</v>
      </c>
      <c r="J66" s="174">
        <v>399</v>
      </c>
      <c r="K66" s="174">
        <v>396</v>
      </c>
      <c r="L66" s="184" t="s">
        <v>154</v>
      </c>
      <c r="M66" s="184"/>
      <c r="N66" s="492">
        <v>396</v>
      </c>
    </row>
    <row r="67" spans="1:14" ht="12.75" customHeight="1" x14ac:dyDescent="0.2">
      <c r="A67" s="494" t="s">
        <v>381</v>
      </c>
      <c r="B67" s="174">
        <v>720</v>
      </c>
      <c r="C67" s="174">
        <v>430</v>
      </c>
      <c r="D67" s="174"/>
      <c r="E67" s="174">
        <v>1606</v>
      </c>
      <c r="F67" s="174"/>
      <c r="G67" s="174">
        <v>864</v>
      </c>
      <c r="H67" s="174">
        <v>437</v>
      </c>
      <c r="I67" s="174">
        <v>428</v>
      </c>
      <c r="J67" s="174">
        <v>414</v>
      </c>
      <c r="K67" s="174">
        <v>411</v>
      </c>
      <c r="L67" s="184" t="s">
        <v>154</v>
      </c>
      <c r="M67" s="184"/>
      <c r="N67" s="492">
        <v>410</v>
      </c>
    </row>
    <row r="68" spans="1:14" ht="12.75" customHeight="1" x14ac:dyDescent="0.2">
      <c r="A68" s="494" t="s">
        <v>383</v>
      </c>
      <c r="B68" s="174">
        <v>725</v>
      </c>
      <c r="C68" s="174">
        <v>430</v>
      </c>
      <c r="D68" s="174"/>
      <c r="E68" s="174">
        <v>1625</v>
      </c>
      <c r="F68" s="174"/>
      <c r="G68" s="174">
        <v>839</v>
      </c>
      <c r="H68" s="174">
        <v>427</v>
      </c>
      <c r="I68" s="174">
        <v>417</v>
      </c>
      <c r="J68" s="174">
        <v>404</v>
      </c>
      <c r="K68" s="174">
        <v>401</v>
      </c>
      <c r="L68" s="184" t="s">
        <v>154</v>
      </c>
      <c r="M68" s="184"/>
      <c r="N68" s="492">
        <v>429</v>
      </c>
    </row>
    <row r="69" spans="1:14" ht="12.75" customHeight="1" x14ac:dyDescent="0.2">
      <c r="A69" s="494" t="s">
        <v>389</v>
      </c>
      <c r="B69" s="174">
        <v>730</v>
      </c>
      <c r="C69" s="174">
        <v>443</v>
      </c>
      <c r="D69" s="174"/>
      <c r="E69" s="174">
        <v>1625</v>
      </c>
      <c r="F69" s="174"/>
      <c r="G69" s="174">
        <v>773</v>
      </c>
      <c r="H69" s="174">
        <v>428</v>
      </c>
      <c r="I69" s="174">
        <v>417</v>
      </c>
      <c r="J69" s="174">
        <v>405</v>
      </c>
      <c r="K69" s="174">
        <v>402</v>
      </c>
      <c r="L69" s="184" t="s">
        <v>154</v>
      </c>
      <c r="M69" s="184"/>
      <c r="N69" s="492">
        <v>438</v>
      </c>
    </row>
    <row r="70" spans="1:14" ht="12.75" customHeight="1" x14ac:dyDescent="0.2">
      <c r="A70" s="494" t="s">
        <v>390</v>
      </c>
      <c r="B70" s="174">
        <v>734</v>
      </c>
      <c r="C70" s="174">
        <v>446</v>
      </c>
      <c r="D70" s="174"/>
      <c r="E70" s="174">
        <v>1638</v>
      </c>
      <c r="F70" s="174"/>
      <c r="G70" s="174">
        <v>768</v>
      </c>
      <c r="H70" s="174">
        <v>461</v>
      </c>
      <c r="I70" s="174">
        <v>446</v>
      </c>
      <c r="J70" s="174">
        <v>436</v>
      </c>
      <c r="K70" s="174">
        <v>431</v>
      </c>
      <c r="L70" s="184" t="s">
        <v>154</v>
      </c>
      <c r="M70" s="184"/>
      <c r="N70" s="492">
        <v>456</v>
      </c>
    </row>
    <row r="71" spans="1:14" ht="12.75" customHeight="1" x14ac:dyDescent="0.2">
      <c r="A71" s="494" t="s">
        <v>391</v>
      </c>
      <c r="B71" s="174">
        <v>740</v>
      </c>
      <c r="C71" s="174">
        <v>450</v>
      </c>
      <c r="D71" s="174"/>
      <c r="E71" s="174">
        <v>1650</v>
      </c>
      <c r="F71" s="174"/>
      <c r="G71" s="174">
        <v>851</v>
      </c>
      <c r="H71" s="174">
        <v>504</v>
      </c>
      <c r="I71" s="174">
        <v>488</v>
      </c>
      <c r="J71" s="174">
        <v>477</v>
      </c>
      <c r="K71" s="174">
        <v>468</v>
      </c>
      <c r="L71" s="184">
        <v>472</v>
      </c>
      <c r="M71" s="184"/>
      <c r="N71" s="492">
        <v>460</v>
      </c>
    </row>
    <row r="72" spans="1:14" ht="12.75" customHeight="1" x14ac:dyDescent="0.2">
      <c r="A72" s="494" t="s">
        <v>392</v>
      </c>
      <c r="B72" s="174">
        <v>760</v>
      </c>
      <c r="C72" s="174">
        <v>441</v>
      </c>
      <c r="D72" s="174"/>
      <c r="E72" s="174">
        <v>1650</v>
      </c>
      <c r="F72" s="174"/>
      <c r="G72" s="174">
        <v>819</v>
      </c>
      <c r="H72" s="174">
        <v>485</v>
      </c>
      <c r="I72" s="174">
        <v>468</v>
      </c>
      <c r="J72" s="174">
        <v>457</v>
      </c>
      <c r="K72" s="174">
        <v>453</v>
      </c>
      <c r="L72" s="184">
        <v>448</v>
      </c>
      <c r="M72" s="184"/>
      <c r="N72" s="492">
        <v>460</v>
      </c>
    </row>
    <row r="73" spans="1:14" ht="12.75" customHeight="1" x14ac:dyDescent="0.2">
      <c r="A73" s="494" t="s">
        <v>397</v>
      </c>
      <c r="B73" s="174">
        <v>760</v>
      </c>
      <c r="C73" s="174">
        <v>436</v>
      </c>
      <c r="D73" s="174"/>
      <c r="E73" s="174">
        <v>1650</v>
      </c>
      <c r="F73" s="174"/>
      <c r="G73" s="174">
        <v>800</v>
      </c>
      <c r="H73" s="174">
        <v>482</v>
      </c>
      <c r="I73" s="174">
        <v>460</v>
      </c>
      <c r="J73" s="174">
        <v>452</v>
      </c>
      <c r="K73" s="174">
        <v>443</v>
      </c>
      <c r="L73" s="184">
        <v>427</v>
      </c>
      <c r="M73" s="184"/>
      <c r="N73" s="492">
        <v>456</v>
      </c>
    </row>
    <row r="74" spans="1:14" ht="12.75" customHeight="1" x14ac:dyDescent="0.2">
      <c r="A74" s="494" t="s">
        <v>398</v>
      </c>
      <c r="B74" s="174">
        <v>760</v>
      </c>
      <c r="C74" s="174">
        <v>430</v>
      </c>
      <c r="D74" s="174"/>
      <c r="E74" s="174">
        <v>1650</v>
      </c>
      <c r="F74" s="174"/>
      <c r="G74" s="174">
        <v>798</v>
      </c>
      <c r="H74" s="174">
        <v>503</v>
      </c>
      <c r="I74" s="174">
        <v>482</v>
      </c>
      <c r="J74" s="174">
        <v>472</v>
      </c>
      <c r="K74" s="174">
        <v>456</v>
      </c>
      <c r="L74" s="184">
        <v>428</v>
      </c>
      <c r="M74" s="184"/>
      <c r="N74" s="492">
        <v>481</v>
      </c>
    </row>
    <row r="75" spans="1:14" ht="12.75" customHeight="1" x14ac:dyDescent="0.2">
      <c r="A75" s="494" t="s">
        <v>400</v>
      </c>
      <c r="B75" s="174">
        <v>760</v>
      </c>
      <c r="C75" s="174">
        <v>445</v>
      </c>
      <c r="D75" s="174"/>
      <c r="E75" s="174">
        <v>1650</v>
      </c>
      <c r="F75" s="174"/>
      <c r="G75" s="174">
        <v>815</v>
      </c>
      <c r="H75" s="174">
        <v>516</v>
      </c>
      <c r="I75" s="174">
        <v>495</v>
      </c>
      <c r="J75" s="174">
        <v>484</v>
      </c>
      <c r="K75" s="174">
        <v>465</v>
      </c>
      <c r="L75" s="184">
        <v>431</v>
      </c>
      <c r="M75" s="184"/>
      <c r="N75" s="492">
        <v>493</v>
      </c>
    </row>
    <row r="76" spans="1:14" ht="12.75" customHeight="1" x14ac:dyDescent="0.2">
      <c r="A76" s="494" t="s">
        <v>402</v>
      </c>
      <c r="B76" s="174">
        <v>760</v>
      </c>
      <c r="C76" s="174">
        <v>454</v>
      </c>
      <c r="D76" s="174"/>
      <c r="E76" s="174">
        <v>1650</v>
      </c>
      <c r="F76" s="174"/>
      <c r="G76" s="174">
        <v>824</v>
      </c>
      <c r="H76" s="174">
        <v>521</v>
      </c>
      <c r="I76" s="174">
        <v>492</v>
      </c>
      <c r="J76" s="174">
        <v>488</v>
      </c>
      <c r="K76" s="174">
        <v>469</v>
      </c>
      <c r="L76" s="184">
        <v>433</v>
      </c>
      <c r="M76" s="184"/>
      <c r="N76" s="492">
        <v>504</v>
      </c>
    </row>
    <row r="77" spans="1:14" ht="12.75" customHeight="1" x14ac:dyDescent="0.2">
      <c r="A77" s="494" t="s">
        <v>404</v>
      </c>
      <c r="B77" s="174">
        <v>760</v>
      </c>
      <c r="C77" s="174">
        <v>420</v>
      </c>
      <c r="D77" s="174"/>
      <c r="E77" s="174">
        <v>1650</v>
      </c>
      <c r="F77" s="174"/>
      <c r="G77" s="174">
        <v>854</v>
      </c>
      <c r="H77" s="174">
        <v>571</v>
      </c>
      <c r="I77" s="174">
        <v>543</v>
      </c>
      <c r="J77" s="174">
        <v>534</v>
      </c>
      <c r="K77" s="174">
        <v>506</v>
      </c>
      <c r="L77" s="184">
        <v>446</v>
      </c>
      <c r="M77" s="184"/>
      <c r="N77" s="492">
        <v>541</v>
      </c>
    </row>
    <row r="78" spans="1:14" ht="5.25" customHeight="1" x14ac:dyDescent="0.2">
      <c r="A78" s="494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84"/>
      <c r="M78" s="184"/>
      <c r="N78" s="492"/>
    </row>
    <row r="79" spans="1:14" ht="12.75" customHeight="1" x14ac:dyDescent="0.2">
      <c r="A79" s="494" t="s">
        <v>405</v>
      </c>
      <c r="B79" s="174">
        <f>AVERAGE(B66:B78)</f>
        <v>743.41666666666663</v>
      </c>
      <c r="C79" s="174">
        <f>AVERAGE(C66:C78)</f>
        <v>437.16666666666669</v>
      </c>
      <c r="D79" s="174"/>
      <c r="E79" s="174">
        <f>AVERAGE(E66:E78)</f>
        <v>1632.8333333333333</v>
      </c>
      <c r="F79" s="174"/>
      <c r="G79" s="174">
        <f t="shared" ref="G79:N79" si="1">AVERAGE(G66:G78)</f>
        <v>819.91666666666663</v>
      </c>
      <c r="H79" s="174">
        <f>AVERAGE(H66:H78)+1</f>
        <v>480.75</v>
      </c>
      <c r="I79" s="174">
        <f t="shared" si="1"/>
        <v>462.25</v>
      </c>
      <c r="J79" s="174">
        <f t="shared" si="1"/>
        <v>451.83333333333331</v>
      </c>
      <c r="K79" s="174">
        <f t="shared" si="1"/>
        <v>441.75</v>
      </c>
      <c r="L79" s="174">
        <f t="shared" si="1"/>
        <v>440.71428571428572</v>
      </c>
      <c r="M79" s="174"/>
      <c r="N79" s="492">
        <f t="shared" si="1"/>
        <v>460.33333333333331</v>
      </c>
    </row>
    <row r="80" spans="1:14" ht="8.25" customHeight="1" x14ac:dyDescent="0.2">
      <c r="A80" s="488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492"/>
    </row>
    <row r="81" spans="1:14" ht="12.75" customHeight="1" x14ac:dyDescent="0.2">
      <c r="A81" s="494" t="s">
        <v>407</v>
      </c>
      <c r="B81" s="174">
        <v>760</v>
      </c>
      <c r="C81" s="174">
        <v>416</v>
      </c>
      <c r="D81" s="174"/>
      <c r="E81" s="174">
        <v>1650</v>
      </c>
      <c r="F81" s="174"/>
      <c r="G81" s="174">
        <v>918</v>
      </c>
      <c r="H81" s="174">
        <v>648</v>
      </c>
      <c r="I81" s="174">
        <v>618</v>
      </c>
      <c r="J81" s="174">
        <v>608</v>
      </c>
      <c r="K81" s="174">
        <v>570</v>
      </c>
      <c r="L81" s="174">
        <v>473</v>
      </c>
      <c r="M81" s="174"/>
      <c r="N81" s="492">
        <v>633</v>
      </c>
    </row>
    <row r="82" spans="1:14" ht="12" customHeight="1" x14ac:dyDescent="0.2">
      <c r="A82" s="494" t="s">
        <v>411</v>
      </c>
      <c r="B82" s="174">
        <v>760</v>
      </c>
      <c r="C82" s="174">
        <v>405</v>
      </c>
      <c r="D82" s="174"/>
      <c r="E82" s="174">
        <v>1375</v>
      </c>
      <c r="F82" s="174"/>
      <c r="G82" s="174">
        <v>851</v>
      </c>
      <c r="H82" s="174">
        <v>630</v>
      </c>
      <c r="I82" s="174">
        <v>600</v>
      </c>
      <c r="J82" s="174">
        <v>586</v>
      </c>
      <c r="K82" s="174">
        <v>552</v>
      </c>
      <c r="L82" s="174">
        <v>467</v>
      </c>
      <c r="M82" s="174"/>
      <c r="N82" s="492">
        <v>624</v>
      </c>
    </row>
    <row r="83" spans="1:14" ht="12" customHeight="1" x14ac:dyDescent="0.2">
      <c r="A83" s="494" t="s">
        <v>422</v>
      </c>
      <c r="B83" s="174">
        <v>760</v>
      </c>
      <c r="C83" s="174">
        <v>406</v>
      </c>
      <c r="D83" s="174"/>
      <c r="E83" s="174">
        <v>1060</v>
      </c>
      <c r="F83" s="174"/>
      <c r="G83" s="174">
        <v>804</v>
      </c>
      <c r="H83" s="174">
        <v>592</v>
      </c>
      <c r="I83" s="174">
        <v>566</v>
      </c>
      <c r="J83" s="174">
        <v>550</v>
      </c>
      <c r="K83" s="174">
        <v>525</v>
      </c>
      <c r="L83" s="174">
        <v>460</v>
      </c>
      <c r="M83" s="174"/>
      <c r="N83" s="492">
        <v>634</v>
      </c>
    </row>
    <row r="84" spans="1:14" ht="12" customHeight="1" x14ac:dyDescent="0.2">
      <c r="A84" s="494" t="s">
        <v>426</v>
      </c>
      <c r="B84" s="174">
        <v>761</v>
      </c>
      <c r="C84" s="174">
        <v>418</v>
      </c>
      <c r="D84" s="174"/>
      <c r="E84" s="174">
        <v>988</v>
      </c>
      <c r="F84" s="174"/>
      <c r="G84" s="174">
        <v>784</v>
      </c>
      <c r="H84" s="174">
        <v>597</v>
      </c>
      <c r="I84" s="174">
        <v>564</v>
      </c>
      <c r="J84" s="174">
        <v>553</v>
      </c>
      <c r="K84" s="174">
        <v>534</v>
      </c>
      <c r="L84" s="174">
        <v>489</v>
      </c>
      <c r="M84" s="174"/>
      <c r="N84" s="492">
        <v>660</v>
      </c>
    </row>
    <row r="85" spans="1:14" ht="11.25" customHeight="1" x14ac:dyDescent="0.2">
      <c r="A85" s="494" t="s">
        <v>442</v>
      </c>
      <c r="B85" s="174">
        <v>765</v>
      </c>
      <c r="C85" s="174">
        <v>425</v>
      </c>
      <c r="D85" s="174"/>
      <c r="E85" s="174">
        <v>950</v>
      </c>
      <c r="F85" s="174"/>
      <c r="G85" s="174">
        <v>857</v>
      </c>
      <c r="H85" s="174">
        <v>658</v>
      </c>
      <c r="I85" s="174">
        <v>614</v>
      </c>
      <c r="J85" s="174">
        <v>609</v>
      </c>
      <c r="K85" s="174">
        <v>572</v>
      </c>
      <c r="L85" s="174">
        <v>492</v>
      </c>
      <c r="M85" s="174"/>
      <c r="N85" s="492">
        <v>663</v>
      </c>
    </row>
    <row r="86" spans="1:14" ht="11.25" customHeight="1" x14ac:dyDescent="0.2">
      <c r="A86" s="494" t="s">
        <v>457</v>
      </c>
      <c r="B86" s="174">
        <v>765</v>
      </c>
      <c r="C86" s="174">
        <v>440</v>
      </c>
      <c r="D86" s="174"/>
      <c r="E86" s="174">
        <v>950</v>
      </c>
      <c r="F86" s="174"/>
      <c r="G86" s="174">
        <v>858</v>
      </c>
      <c r="H86" s="174">
        <v>667</v>
      </c>
      <c r="I86" s="174">
        <v>631</v>
      </c>
      <c r="J86" s="174">
        <v>628</v>
      </c>
      <c r="K86" s="174">
        <v>583</v>
      </c>
      <c r="L86" s="174">
        <v>486</v>
      </c>
      <c r="M86" s="174"/>
      <c r="N86" s="492">
        <v>651</v>
      </c>
    </row>
    <row r="87" spans="1:14" ht="11.25" customHeight="1" x14ac:dyDescent="0.2">
      <c r="A87" s="494" t="s">
        <v>458</v>
      </c>
      <c r="B87" s="174">
        <v>780</v>
      </c>
      <c r="C87" s="174">
        <v>450</v>
      </c>
      <c r="D87" s="174"/>
      <c r="E87" s="174">
        <v>950</v>
      </c>
      <c r="F87" s="174"/>
      <c r="G87" s="174">
        <v>845</v>
      </c>
      <c r="H87" s="174">
        <v>632</v>
      </c>
      <c r="I87" s="174">
        <v>607</v>
      </c>
      <c r="J87" s="174">
        <v>600</v>
      </c>
      <c r="K87" s="174">
        <v>565</v>
      </c>
      <c r="L87" s="174">
        <v>489</v>
      </c>
      <c r="M87" s="174"/>
      <c r="N87" s="492">
        <v>621</v>
      </c>
    </row>
    <row r="88" spans="1:14" ht="11.25" customHeight="1" x14ac:dyDescent="0.2">
      <c r="A88" s="494" t="s">
        <v>475</v>
      </c>
      <c r="B88" s="174">
        <v>800</v>
      </c>
      <c r="C88" s="174">
        <v>441</v>
      </c>
      <c r="D88" s="174"/>
      <c r="E88" s="174">
        <v>864</v>
      </c>
      <c r="F88" s="174"/>
      <c r="G88" s="174">
        <v>830</v>
      </c>
      <c r="H88" s="174">
        <v>622</v>
      </c>
      <c r="I88" s="174">
        <v>602</v>
      </c>
      <c r="J88" s="174">
        <v>592</v>
      </c>
      <c r="K88" s="174">
        <v>560</v>
      </c>
      <c r="L88" s="174">
        <v>486</v>
      </c>
      <c r="M88" s="174"/>
      <c r="N88" s="492">
        <v>595</v>
      </c>
    </row>
    <row r="89" spans="1:14" ht="11.25" customHeight="1" x14ac:dyDescent="0.2">
      <c r="A89" s="494" t="s">
        <v>486</v>
      </c>
      <c r="B89" s="174">
        <v>800</v>
      </c>
      <c r="C89" s="174">
        <v>433</v>
      </c>
      <c r="D89" s="174"/>
      <c r="E89" s="174">
        <v>835</v>
      </c>
      <c r="F89" s="174"/>
      <c r="G89" s="174">
        <v>830</v>
      </c>
      <c r="H89" s="174">
        <v>593</v>
      </c>
      <c r="I89" s="174">
        <v>570</v>
      </c>
      <c r="J89" s="174">
        <v>566</v>
      </c>
      <c r="K89" s="174">
        <v>537</v>
      </c>
      <c r="L89" s="174">
        <v>463</v>
      </c>
      <c r="M89" s="174"/>
      <c r="N89" s="492">
        <v>586</v>
      </c>
    </row>
    <row r="90" spans="1:14" ht="11.25" customHeight="1" x14ac:dyDescent="0.2">
      <c r="A90" s="494" t="s">
        <v>484</v>
      </c>
      <c r="B90" s="174">
        <v>800</v>
      </c>
      <c r="C90" s="174">
        <v>401</v>
      </c>
      <c r="D90" s="174"/>
      <c r="E90" s="174">
        <v>835</v>
      </c>
      <c r="F90" s="174"/>
      <c r="G90" s="174">
        <v>886</v>
      </c>
      <c r="H90" s="174">
        <v>633</v>
      </c>
      <c r="I90" s="174">
        <v>603</v>
      </c>
      <c r="J90" s="174">
        <v>601</v>
      </c>
      <c r="K90" s="174">
        <v>563</v>
      </c>
      <c r="L90" s="174">
        <v>472</v>
      </c>
      <c r="M90" s="174"/>
      <c r="N90" s="492">
        <v>590</v>
      </c>
    </row>
    <row r="91" spans="1:14" ht="11.25" customHeight="1" x14ac:dyDescent="0.2">
      <c r="A91" s="494" t="s">
        <v>485</v>
      </c>
      <c r="B91" s="174">
        <v>800</v>
      </c>
      <c r="C91" s="174">
        <v>405</v>
      </c>
      <c r="D91" s="174"/>
      <c r="E91" s="174">
        <v>835</v>
      </c>
      <c r="F91" s="174"/>
      <c r="G91" s="174">
        <v>890</v>
      </c>
      <c r="H91" s="174">
        <v>639</v>
      </c>
      <c r="I91" s="174">
        <v>611</v>
      </c>
      <c r="J91" s="174">
        <v>600</v>
      </c>
      <c r="K91" s="174">
        <v>566</v>
      </c>
      <c r="L91" s="174">
        <v>466</v>
      </c>
      <c r="M91" s="174"/>
      <c r="N91" s="492">
        <v>580</v>
      </c>
    </row>
    <row r="92" spans="1:14" ht="3" customHeight="1" x14ac:dyDescent="0.2">
      <c r="A92" s="488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492"/>
    </row>
    <row r="93" spans="1:14" ht="12.75" customHeight="1" x14ac:dyDescent="0.2">
      <c r="A93" s="488" t="s">
        <v>401</v>
      </c>
      <c r="B93" s="174">
        <f>AVERAGE(B81:B92)</f>
        <v>777.36363636363637</v>
      </c>
      <c r="C93" s="174">
        <f>AVERAGE(C81:C92)</f>
        <v>421.81818181818181</v>
      </c>
      <c r="D93" s="174"/>
      <c r="E93" s="174">
        <f t="shared" ref="E93:N93" si="2">AVERAGE(E81:E92)</f>
        <v>1026.5454545454545</v>
      </c>
      <c r="F93" s="174"/>
      <c r="G93" s="174">
        <f t="shared" si="2"/>
        <v>850.27272727272725</v>
      </c>
      <c r="H93" s="174">
        <f t="shared" si="2"/>
        <v>628.27272727272725</v>
      </c>
      <c r="I93" s="174">
        <f t="shared" si="2"/>
        <v>598.72727272727275</v>
      </c>
      <c r="J93" s="174">
        <f t="shared" si="2"/>
        <v>590.27272727272725</v>
      </c>
      <c r="K93" s="174">
        <f t="shared" si="2"/>
        <v>557</v>
      </c>
      <c r="L93" s="174">
        <f>AVERAGE(L81:L92)</f>
        <v>476.63636363636363</v>
      </c>
      <c r="M93" s="174"/>
      <c r="N93" s="492">
        <f t="shared" si="2"/>
        <v>621.5454545454545</v>
      </c>
    </row>
    <row r="94" spans="1:14" ht="6.6" customHeight="1" x14ac:dyDescent="0.2">
      <c r="A94" s="496"/>
      <c r="B94" s="497"/>
      <c r="C94" s="497"/>
      <c r="D94" s="497"/>
      <c r="E94" s="497"/>
      <c r="F94" s="497"/>
      <c r="G94" s="497"/>
      <c r="H94" s="497"/>
      <c r="I94" s="497"/>
      <c r="J94" s="497"/>
      <c r="K94" s="497"/>
      <c r="L94" s="498"/>
      <c r="M94" s="498"/>
      <c r="N94" s="499"/>
    </row>
    <row r="95" spans="1:14" ht="16.5" customHeight="1" x14ac:dyDescent="0.2">
      <c r="A95" s="159" t="s">
        <v>372</v>
      </c>
    </row>
    <row r="96" spans="1:14" ht="13.5" customHeight="1" x14ac:dyDescent="0.2">
      <c r="A96" s="159" t="s">
        <v>479</v>
      </c>
    </row>
    <row r="97" spans="1:1" ht="12.6" customHeight="1" x14ac:dyDescent="0.2">
      <c r="A97" s="159" t="s">
        <v>478</v>
      </c>
    </row>
    <row r="98" spans="1:1" ht="12.6" customHeight="1" x14ac:dyDescent="0.2">
      <c r="A98" s="159" t="s">
        <v>349</v>
      </c>
    </row>
    <row r="99" spans="1:1" ht="12.6" customHeight="1" x14ac:dyDescent="0.2">
      <c r="A99" s="159" t="s">
        <v>496</v>
      </c>
    </row>
    <row r="100" spans="1:1" ht="12" customHeight="1" x14ac:dyDescent="0.2">
      <c r="A100" s="159" t="s">
        <v>468</v>
      </c>
    </row>
    <row r="101" spans="1:1" ht="12" customHeight="1" x14ac:dyDescent="0.2">
      <c r="A101" s="159" t="s">
        <v>153</v>
      </c>
    </row>
    <row r="102" spans="1:1" ht="12" customHeight="1" x14ac:dyDescent="0.2">
      <c r="A102" s="159" t="s">
        <v>311</v>
      </c>
    </row>
    <row r="103" spans="1:1" ht="12" customHeight="1" x14ac:dyDescent="0.2">
      <c r="A103" s="159" t="s">
        <v>469</v>
      </c>
    </row>
    <row r="104" spans="1:1" ht="12" customHeight="1" x14ac:dyDescent="0.2">
      <c r="A104" s="159" t="s">
        <v>300</v>
      </c>
    </row>
    <row r="105" spans="1:1" ht="12.75" customHeight="1" x14ac:dyDescent="0.2">
      <c r="A105" s="159" t="s">
        <v>436</v>
      </c>
    </row>
    <row r="106" spans="1:1" ht="9.9499999999999993" customHeight="1" x14ac:dyDescent="0.2">
      <c r="A106" s="159" t="s">
        <v>287</v>
      </c>
    </row>
    <row r="107" spans="1:1" ht="12.75" customHeight="1" x14ac:dyDescent="0.2">
      <c r="A107" s="6" t="s">
        <v>483</v>
      </c>
    </row>
    <row r="113" spans="7:16" x14ac:dyDescent="0.2">
      <c r="G113" s="175"/>
    </row>
    <row r="114" spans="7:16" x14ac:dyDescent="0.2">
      <c r="G114" s="175"/>
    </row>
    <row r="115" spans="7:16" x14ac:dyDescent="0.2">
      <c r="G115" s="175"/>
    </row>
    <row r="116" spans="7:16" x14ac:dyDescent="0.2">
      <c r="G116" s="175"/>
    </row>
    <row r="119" spans="7:16" x14ac:dyDescent="0.2">
      <c r="O119" s="87" t="s">
        <v>60</v>
      </c>
    </row>
    <row r="120" spans="7:16" x14ac:dyDescent="0.2">
      <c r="O120" s="87" t="s">
        <v>60</v>
      </c>
    </row>
    <row r="124" spans="7:16" x14ac:dyDescent="0.2">
      <c r="P124" s="87" t="s">
        <v>60</v>
      </c>
    </row>
    <row r="184" spans="2:15" x14ac:dyDescent="0.2">
      <c r="J184" s="87"/>
      <c r="K184" s="87"/>
      <c r="L184" s="87"/>
      <c r="M184" s="87"/>
      <c r="N184" s="87"/>
    </row>
    <row r="185" spans="2:15" x14ac:dyDescent="0.2">
      <c r="E185" s="88"/>
      <c r="N185" s="87"/>
    </row>
    <row r="186" spans="2:15" x14ac:dyDescent="0.2">
      <c r="B186" s="87"/>
      <c r="H186" s="87"/>
      <c r="N186" s="87"/>
      <c r="O186" s="87"/>
    </row>
    <row r="187" spans="2:15" x14ac:dyDescent="0.2">
      <c r="B187" s="85"/>
      <c r="C187" s="87"/>
      <c r="D187" s="87"/>
      <c r="E187" s="89"/>
      <c r="F187" s="87"/>
      <c r="G187" s="176"/>
      <c r="H187" s="87"/>
      <c r="J187" s="85"/>
      <c r="K187" s="85"/>
      <c r="N187" s="85"/>
    </row>
    <row r="188" spans="2:15" x14ac:dyDescent="0.2">
      <c r="B188" s="90"/>
      <c r="C188" s="90"/>
      <c r="D188" s="90"/>
      <c r="E188" s="91"/>
      <c r="F188" s="90"/>
      <c r="G188" s="177"/>
      <c r="H188" s="87"/>
      <c r="J188" s="87"/>
      <c r="K188" s="87"/>
      <c r="L188" s="85"/>
      <c r="M188" s="85"/>
      <c r="N188" s="85"/>
    </row>
    <row r="189" spans="2:15" x14ac:dyDescent="0.2">
      <c r="B189" s="85"/>
      <c r="C189" s="85"/>
      <c r="D189" s="85"/>
      <c r="E189" s="89"/>
      <c r="F189" s="85"/>
      <c r="G189" s="173"/>
      <c r="J189" s="87"/>
      <c r="K189" s="87"/>
      <c r="L189" s="85"/>
      <c r="M189" s="85"/>
    </row>
    <row r="190" spans="2:15" x14ac:dyDescent="0.2">
      <c r="B190" s="87"/>
      <c r="C190" s="87"/>
      <c r="D190" s="87"/>
      <c r="E190" s="88"/>
      <c r="F190" s="87"/>
      <c r="G190" s="176"/>
      <c r="H190" s="87"/>
      <c r="J190" s="87"/>
      <c r="K190" s="87"/>
      <c r="L190" s="87"/>
      <c r="M190" s="87"/>
      <c r="N190" s="87"/>
      <c r="O190" s="87"/>
    </row>
    <row r="192" spans="2:15" x14ac:dyDescent="0.2">
      <c r="E192" s="88"/>
    </row>
    <row r="194" spans="7:7" x14ac:dyDescent="0.2">
      <c r="G194" s="175"/>
    </row>
    <row r="195" spans="7:7" x14ac:dyDescent="0.2">
      <c r="G195" s="175"/>
    </row>
    <row r="196" spans="7:7" x14ac:dyDescent="0.2">
      <c r="G196" s="175"/>
    </row>
    <row r="197" spans="7:7" x14ac:dyDescent="0.2">
      <c r="G197" s="175"/>
    </row>
  </sheetData>
  <printOptions horizontalCentered="1"/>
  <pageMargins left="0.75" right="0.75" top="0.5" bottom="0.5" header="0.5" footer="0.5"/>
  <pageSetup scale="5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2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5" sqref="A75"/>
    </sheetView>
  </sheetViews>
  <sheetFormatPr defaultColWidth="8.625" defaultRowHeight="12" x14ac:dyDescent="0.2"/>
  <cols>
    <col min="1" max="1" width="18.375" style="67" customWidth="1"/>
    <col min="2" max="2" width="9.375" style="656" customWidth="1"/>
    <col min="3" max="3" width="1.75" style="97" customWidth="1"/>
    <col min="4" max="5" width="9.375" style="97" customWidth="1"/>
    <col min="6" max="6" width="1.125" style="97" customWidth="1"/>
    <col min="7" max="7" width="8.75" style="656" customWidth="1"/>
    <col min="8" max="8" width="8.75" style="97" customWidth="1"/>
    <col min="9" max="9" width="2.125" style="97" customWidth="1"/>
    <col min="10" max="10" width="9.375" style="97" customWidth="1"/>
    <col min="11" max="11" width="9.375" style="656" customWidth="1"/>
    <col min="12" max="12" width="1.125" style="97" customWidth="1"/>
    <col min="13" max="14" width="8.75" style="97" customWidth="1"/>
    <col min="15" max="25" width="9.625" style="67" customWidth="1"/>
    <col min="26" max="26" width="12.625" style="67" customWidth="1"/>
    <col min="27" max="256" width="8.625" style="67"/>
    <col min="257" max="257" width="17" style="67" customWidth="1"/>
    <col min="258" max="258" width="9.375" style="67" customWidth="1"/>
    <col min="259" max="259" width="1.75" style="67" customWidth="1"/>
    <col min="260" max="261" width="9.375" style="67" customWidth="1"/>
    <col min="262" max="262" width="1.125" style="67" customWidth="1"/>
    <col min="263" max="264" width="8.75" style="67" customWidth="1"/>
    <col min="265" max="265" width="2.125" style="67" customWidth="1"/>
    <col min="266" max="267" width="9.375" style="67" customWidth="1"/>
    <col min="268" max="268" width="1.125" style="67" customWidth="1"/>
    <col min="269" max="270" width="8.75" style="67" customWidth="1"/>
    <col min="271" max="281" width="9.625" style="67" customWidth="1"/>
    <col min="282" max="282" width="12.625" style="67" customWidth="1"/>
    <col min="283" max="512" width="8.625" style="67"/>
    <col min="513" max="513" width="17" style="67" customWidth="1"/>
    <col min="514" max="514" width="9.375" style="67" customWidth="1"/>
    <col min="515" max="515" width="1.75" style="67" customWidth="1"/>
    <col min="516" max="517" width="9.375" style="67" customWidth="1"/>
    <col min="518" max="518" width="1.125" style="67" customWidth="1"/>
    <col min="519" max="520" width="8.75" style="67" customWidth="1"/>
    <col min="521" max="521" width="2.125" style="67" customWidth="1"/>
    <col min="522" max="523" width="9.375" style="67" customWidth="1"/>
    <col min="524" max="524" width="1.125" style="67" customWidth="1"/>
    <col min="525" max="526" width="8.75" style="67" customWidth="1"/>
    <col min="527" max="537" width="9.625" style="67" customWidth="1"/>
    <col min="538" max="538" width="12.625" style="67" customWidth="1"/>
    <col min="539" max="768" width="8.625" style="67"/>
    <col min="769" max="769" width="17" style="67" customWidth="1"/>
    <col min="770" max="770" width="9.375" style="67" customWidth="1"/>
    <col min="771" max="771" width="1.75" style="67" customWidth="1"/>
    <col min="772" max="773" width="9.375" style="67" customWidth="1"/>
    <col min="774" max="774" width="1.125" style="67" customWidth="1"/>
    <col min="775" max="776" width="8.75" style="67" customWidth="1"/>
    <col min="777" max="777" width="2.125" style="67" customWidth="1"/>
    <col min="778" max="779" width="9.375" style="67" customWidth="1"/>
    <col min="780" max="780" width="1.125" style="67" customWidth="1"/>
    <col min="781" max="782" width="8.75" style="67" customWidth="1"/>
    <col min="783" max="793" width="9.625" style="67" customWidth="1"/>
    <col min="794" max="794" width="12.625" style="67" customWidth="1"/>
    <col min="795" max="1024" width="8.625" style="67"/>
    <col min="1025" max="1025" width="17" style="67" customWidth="1"/>
    <col min="1026" max="1026" width="9.375" style="67" customWidth="1"/>
    <col min="1027" max="1027" width="1.75" style="67" customWidth="1"/>
    <col min="1028" max="1029" width="9.375" style="67" customWidth="1"/>
    <col min="1030" max="1030" width="1.125" style="67" customWidth="1"/>
    <col min="1031" max="1032" width="8.75" style="67" customWidth="1"/>
    <col min="1033" max="1033" width="2.125" style="67" customWidth="1"/>
    <col min="1034" max="1035" width="9.375" style="67" customWidth="1"/>
    <col min="1036" max="1036" width="1.125" style="67" customWidth="1"/>
    <col min="1037" max="1038" width="8.75" style="67" customWidth="1"/>
    <col min="1039" max="1049" width="9.625" style="67" customWidth="1"/>
    <col min="1050" max="1050" width="12.625" style="67" customWidth="1"/>
    <col min="1051" max="1280" width="8.625" style="67"/>
    <col min="1281" max="1281" width="17" style="67" customWidth="1"/>
    <col min="1282" max="1282" width="9.375" style="67" customWidth="1"/>
    <col min="1283" max="1283" width="1.75" style="67" customWidth="1"/>
    <col min="1284" max="1285" width="9.375" style="67" customWidth="1"/>
    <col min="1286" max="1286" width="1.125" style="67" customWidth="1"/>
    <col min="1287" max="1288" width="8.75" style="67" customWidth="1"/>
    <col min="1289" max="1289" width="2.125" style="67" customWidth="1"/>
    <col min="1290" max="1291" width="9.375" style="67" customWidth="1"/>
    <col min="1292" max="1292" width="1.125" style="67" customWidth="1"/>
    <col min="1293" max="1294" width="8.75" style="67" customWidth="1"/>
    <col min="1295" max="1305" width="9.625" style="67" customWidth="1"/>
    <col min="1306" max="1306" width="12.625" style="67" customWidth="1"/>
    <col min="1307" max="1536" width="8.625" style="67"/>
    <col min="1537" max="1537" width="17" style="67" customWidth="1"/>
    <col min="1538" max="1538" width="9.375" style="67" customWidth="1"/>
    <col min="1539" max="1539" width="1.75" style="67" customWidth="1"/>
    <col min="1540" max="1541" width="9.375" style="67" customWidth="1"/>
    <col min="1542" max="1542" width="1.125" style="67" customWidth="1"/>
    <col min="1543" max="1544" width="8.75" style="67" customWidth="1"/>
    <col min="1545" max="1545" width="2.125" style="67" customWidth="1"/>
    <col min="1546" max="1547" width="9.375" style="67" customWidth="1"/>
    <col min="1548" max="1548" width="1.125" style="67" customWidth="1"/>
    <col min="1549" max="1550" width="8.75" style="67" customWidth="1"/>
    <col min="1551" max="1561" width="9.625" style="67" customWidth="1"/>
    <col min="1562" max="1562" width="12.625" style="67" customWidth="1"/>
    <col min="1563" max="1792" width="8.625" style="67"/>
    <col min="1793" max="1793" width="17" style="67" customWidth="1"/>
    <col min="1794" max="1794" width="9.375" style="67" customWidth="1"/>
    <col min="1795" max="1795" width="1.75" style="67" customWidth="1"/>
    <col min="1796" max="1797" width="9.375" style="67" customWidth="1"/>
    <col min="1798" max="1798" width="1.125" style="67" customWidth="1"/>
    <col min="1799" max="1800" width="8.75" style="67" customWidth="1"/>
    <col min="1801" max="1801" width="2.125" style="67" customWidth="1"/>
    <col min="1802" max="1803" width="9.375" style="67" customWidth="1"/>
    <col min="1804" max="1804" width="1.125" style="67" customWidth="1"/>
    <col min="1805" max="1806" width="8.75" style="67" customWidth="1"/>
    <col min="1807" max="1817" width="9.625" style="67" customWidth="1"/>
    <col min="1818" max="1818" width="12.625" style="67" customWidth="1"/>
    <col min="1819" max="2048" width="8.625" style="67"/>
    <col min="2049" max="2049" width="17" style="67" customWidth="1"/>
    <col min="2050" max="2050" width="9.375" style="67" customWidth="1"/>
    <col min="2051" max="2051" width="1.75" style="67" customWidth="1"/>
    <col min="2052" max="2053" width="9.375" style="67" customWidth="1"/>
    <col min="2054" max="2054" width="1.125" style="67" customWidth="1"/>
    <col min="2055" max="2056" width="8.75" style="67" customWidth="1"/>
    <col min="2057" max="2057" width="2.125" style="67" customWidth="1"/>
    <col min="2058" max="2059" width="9.375" style="67" customWidth="1"/>
    <col min="2060" max="2060" width="1.125" style="67" customWidth="1"/>
    <col min="2061" max="2062" width="8.75" style="67" customWidth="1"/>
    <col min="2063" max="2073" width="9.625" style="67" customWidth="1"/>
    <col min="2074" max="2074" width="12.625" style="67" customWidth="1"/>
    <col min="2075" max="2304" width="8.625" style="67"/>
    <col min="2305" max="2305" width="17" style="67" customWidth="1"/>
    <col min="2306" max="2306" width="9.375" style="67" customWidth="1"/>
    <col min="2307" max="2307" width="1.75" style="67" customWidth="1"/>
    <col min="2308" max="2309" width="9.375" style="67" customWidth="1"/>
    <col min="2310" max="2310" width="1.125" style="67" customWidth="1"/>
    <col min="2311" max="2312" width="8.75" style="67" customWidth="1"/>
    <col min="2313" max="2313" width="2.125" style="67" customWidth="1"/>
    <col min="2314" max="2315" width="9.375" style="67" customWidth="1"/>
    <col min="2316" max="2316" width="1.125" style="67" customWidth="1"/>
    <col min="2317" max="2318" width="8.75" style="67" customWidth="1"/>
    <col min="2319" max="2329" width="9.625" style="67" customWidth="1"/>
    <col min="2330" max="2330" width="12.625" style="67" customWidth="1"/>
    <col min="2331" max="2560" width="8.625" style="67"/>
    <col min="2561" max="2561" width="17" style="67" customWidth="1"/>
    <col min="2562" max="2562" width="9.375" style="67" customWidth="1"/>
    <col min="2563" max="2563" width="1.75" style="67" customWidth="1"/>
    <col min="2564" max="2565" width="9.375" style="67" customWidth="1"/>
    <col min="2566" max="2566" width="1.125" style="67" customWidth="1"/>
    <col min="2567" max="2568" width="8.75" style="67" customWidth="1"/>
    <col min="2569" max="2569" width="2.125" style="67" customWidth="1"/>
    <col min="2570" max="2571" width="9.375" style="67" customWidth="1"/>
    <col min="2572" max="2572" width="1.125" style="67" customWidth="1"/>
    <col min="2573" max="2574" width="8.75" style="67" customWidth="1"/>
    <col min="2575" max="2585" width="9.625" style="67" customWidth="1"/>
    <col min="2586" max="2586" width="12.625" style="67" customWidth="1"/>
    <col min="2587" max="2816" width="8.625" style="67"/>
    <col min="2817" max="2817" width="17" style="67" customWidth="1"/>
    <col min="2818" max="2818" width="9.375" style="67" customWidth="1"/>
    <col min="2819" max="2819" width="1.75" style="67" customWidth="1"/>
    <col min="2820" max="2821" width="9.375" style="67" customWidth="1"/>
    <col min="2822" max="2822" width="1.125" style="67" customWidth="1"/>
    <col min="2823" max="2824" width="8.75" style="67" customWidth="1"/>
    <col min="2825" max="2825" width="2.125" style="67" customWidth="1"/>
    <col min="2826" max="2827" width="9.375" style="67" customWidth="1"/>
    <col min="2828" max="2828" width="1.125" style="67" customWidth="1"/>
    <col min="2829" max="2830" width="8.75" style="67" customWidth="1"/>
    <col min="2831" max="2841" width="9.625" style="67" customWidth="1"/>
    <col min="2842" max="2842" width="12.625" style="67" customWidth="1"/>
    <col min="2843" max="3072" width="8.625" style="67"/>
    <col min="3073" max="3073" width="17" style="67" customWidth="1"/>
    <col min="3074" max="3074" width="9.375" style="67" customWidth="1"/>
    <col min="3075" max="3075" width="1.75" style="67" customWidth="1"/>
    <col min="3076" max="3077" width="9.375" style="67" customWidth="1"/>
    <col min="3078" max="3078" width="1.125" style="67" customWidth="1"/>
    <col min="3079" max="3080" width="8.75" style="67" customWidth="1"/>
    <col min="3081" max="3081" width="2.125" style="67" customWidth="1"/>
    <col min="3082" max="3083" width="9.375" style="67" customWidth="1"/>
    <col min="3084" max="3084" width="1.125" style="67" customWidth="1"/>
    <col min="3085" max="3086" width="8.75" style="67" customWidth="1"/>
    <col min="3087" max="3097" width="9.625" style="67" customWidth="1"/>
    <col min="3098" max="3098" width="12.625" style="67" customWidth="1"/>
    <col min="3099" max="3328" width="8.625" style="67"/>
    <col min="3329" max="3329" width="17" style="67" customWidth="1"/>
    <col min="3330" max="3330" width="9.375" style="67" customWidth="1"/>
    <col min="3331" max="3331" width="1.75" style="67" customWidth="1"/>
    <col min="3332" max="3333" width="9.375" style="67" customWidth="1"/>
    <col min="3334" max="3334" width="1.125" style="67" customWidth="1"/>
    <col min="3335" max="3336" width="8.75" style="67" customWidth="1"/>
    <col min="3337" max="3337" width="2.125" style="67" customWidth="1"/>
    <col min="3338" max="3339" width="9.375" style="67" customWidth="1"/>
    <col min="3340" max="3340" width="1.125" style="67" customWidth="1"/>
    <col min="3341" max="3342" width="8.75" style="67" customWidth="1"/>
    <col min="3343" max="3353" width="9.625" style="67" customWidth="1"/>
    <col min="3354" max="3354" width="12.625" style="67" customWidth="1"/>
    <col min="3355" max="3584" width="8.625" style="67"/>
    <col min="3585" max="3585" width="17" style="67" customWidth="1"/>
    <col min="3586" max="3586" width="9.375" style="67" customWidth="1"/>
    <col min="3587" max="3587" width="1.75" style="67" customWidth="1"/>
    <col min="3588" max="3589" width="9.375" style="67" customWidth="1"/>
    <col min="3590" max="3590" width="1.125" style="67" customWidth="1"/>
    <col min="3591" max="3592" width="8.75" style="67" customWidth="1"/>
    <col min="3593" max="3593" width="2.125" style="67" customWidth="1"/>
    <col min="3594" max="3595" width="9.375" style="67" customWidth="1"/>
    <col min="3596" max="3596" width="1.125" style="67" customWidth="1"/>
    <col min="3597" max="3598" width="8.75" style="67" customWidth="1"/>
    <col min="3599" max="3609" width="9.625" style="67" customWidth="1"/>
    <col min="3610" max="3610" width="12.625" style="67" customWidth="1"/>
    <col min="3611" max="3840" width="8.625" style="67"/>
    <col min="3841" max="3841" width="17" style="67" customWidth="1"/>
    <col min="3842" max="3842" width="9.375" style="67" customWidth="1"/>
    <col min="3843" max="3843" width="1.75" style="67" customWidth="1"/>
    <col min="3844" max="3845" width="9.375" style="67" customWidth="1"/>
    <col min="3846" max="3846" width="1.125" style="67" customWidth="1"/>
    <col min="3847" max="3848" width="8.75" style="67" customWidth="1"/>
    <col min="3849" max="3849" width="2.125" style="67" customWidth="1"/>
    <col min="3850" max="3851" width="9.375" style="67" customWidth="1"/>
    <col min="3852" max="3852" width="1.125" style="67" customWidth="1"/>
    <col min="3853" max="3854" width="8.75" style="67" customWidth="1"/>
    <col min="3855" max="3865" width="9.625" style="67" customWidth="1"/>
    <col min="3866" max="3866" width="12.625" style="67" customWidth="1"/>
    <col min="3867" max="4096" width="8.625" style="67"/>
    <col min="4097" max="4097" width="17" style="67" customWidth="1"/>
    <col min="4098" max="4098" width="9.375" style="67" customWidth="1"/>
    <col min="4099" max="4099" width="1.75" style="67" customWidth="1"/>
    <col min="4100" max="4101" width="9.375" style="67" customWidth="1"/>
    <col min="4102" max="4102" width="1.125" style="67" customWidth="1"/>
    <col min="4103" max="4104" width="8.75" style="67" customWidth="1"/>
    <col min="4105" max="4105" width="2.125" style="67" customWidth="1"/>
    <col min="4106" max="4107" width="9.375" style="67" customWidth="1"/>
    <col min="4108" max="4108" width="1.125" style="67" customWidth="1"/>
    <col min="4109" max="4110" width="8.75" style="67" customWidth="1"/>
    <col min="4111" max="4121" width="9.625" style="67" customWidth="1"/>
    <col min="4122" max="4122" width="12.625" style="67" customWidth="1"/>
    <col min="4123" max="4352" width="8.625" style="67"/>
    <col min="4353" max="4353" width="17" style="67" customWidth="1"/>
    <col min="4354" max="4354" width="9.375" style="67" customWidth="1"/>
    <col min="4355" max="4355" width="1.75" style="67" customWidth="1"/>
    <col min="4356" max="4357" width="9.375" style="67" customWidth="1"/>
    <col min="4358" max="4358" width="1.125" style="67" customWidth="1"/>
    <col min="4359" max="4360" width="8.75" style="67" customWidth="1"/>
    <col min="4361" max="4361" width="2.125" style="67" customWidth="1"/>
    <col min="4362" max="4363" width="9.375" style="67" customWidth="1"/>
    <col min="4364" max="4364" width="1.125" style="67" customWidth="1"/>
    <col min="4365" max="4366" width="8.75" style="67" customWidth="1"/>
    <col min="4367" max="4377" width="9.625" style="67" customWidth="1"/>
    <col min="4378" max="4378" width="12.625" style="67" customWidth="1"/>
    <col min="4379" max="4608" width="8.625" style="67"/>
    <col min="4609" max="4609" width="17" style="67" customWidth="1"/>
    <col min="4610" max="4610" width="9.375" style="67" customWidth="1"/>
    <col min="4611" max="4611" width="1.75" style="67" customWidth="1"/>
    <col min="4612" max="4613" width="9.375" style="67" customWidth="1"/>
    <col min="4614" max="4614" width="1.125" style="67" customWidth="1"/>
    <col min="4615" max="4616" width="8.75" style="67" customWidth="1"/>
    <col min="4617" max="4617" width="2.125" style="67" customWidth="1"/>
    <col min="4618" max="4619" width="9.375" style="67" customWidth="1"/>
    <col min="4620" max="4620" width="1.125" style="67" customWidth="1"/>
    <col min="4621" max="4622" width="8.75" style="67" customWidth="1"/>
    <col min="4623" max="4633" width="9.625" style="67" customWidth="1"/>
    <col min="4634" max="4634" width="12.625" style="67" customWidth="1"/>
    <col min="4635" max="4864" width="8.625" style="67"/>
    <col min="4865" max="4865" width="17" style="67" customWidth="1"/>
    <col min="4866" max="4866" width="9.375" style="67" customWidth="1"/>
    <col min="4867" max="4867" width="1.75" style="67" customWidth="1"/>
    <col min="4868" max="4869" width="9.375" style="67" customWidth="1"/>
    <col min="4870" max="4870" width="1.125" style="67" customWidth="1"/>
    <col min="4871" max="4872" width="8.75" style="67" customWidth="1"/>
    <col min="4873" max="4873" width="2.125" style="67" customWidth="1"/>
    <col min="4874" max="4875" width="9.375" style="67" customWidth="1"/>
    <col min="4876" max="4876" width="1.125" style="67" customWidth="1"/>
    <col min="4877" max="4878" width="8.75" style="67" customWidth="1"/>
    <col min="4879" max="4889" width="9.625" style="67" customWidth="1"/>
    <col min="4890" max="4890" width="12.625" style="67" customWidth="1"/>
    <col min="4891" max="5120" width="8.625" style="67"/>
    <col min="5121" max="5121" width="17" style="67" customWidth="1"/>
    <col min="5122" max="5122" width="9.375" style="67" customWidth="1"/>
    <col min="5123" max="5123" width="1.75" style="67" customWidth="1"/>
    <col min="5124" max="5125" width="9.375" style="67" customWidth="1"/>
    <col min="5126" max="5126" width="1.125" style="67" customWidth="1"/>
    <col min="5127" max="5128" width="8.75" style="67" customWidth="1"/>
    <col min="5129" max="5129" width="2.125" style="67" customWidth="1"/>
    <col min="5130" max="5131" width="9.375" style="67" customWidth="1"/>
    <col min="5132" max="5132" width="1.125" style="67" customWidth="1"/>
    <col min="5133" max="5134" width="8.75" style="67" customWidth="1"/>
    <col min="5135" max="5145" width="9.625" style="67" customWidth="1"/>
    <col min="5146" max="5146" width="12.625" style="67" customWidth="1"/>
    <col min="5147" max="5376" width="8.625" style="67"/>
    <col min="5377" max="5377" width="17" style="67" customWidth="1"/>
    <col min="5378" max="5378" width="9.375" style="67" customWidth="1"/>
    <col min="5379" max="5379" width="1.75" style="67" customWidth="1"/>
    <col min="5380" max="5381" width="9.375" style="67" customWidth="1"/>
    <col min="5382" max="5382" width="1.125" style="67" customWidth="1"/>
    <col min="5383" max="5384" width="8.75" style="67" customWidth="1"/>
    <col min="5385" max="5385" width="2.125" style="67" customWidth="1"/>
    <col min="5386" max="5387" width="9.375" style="67" customWidth="1"/>
    <col min="5388" max="5388" width="1.125" style="67" customWidth="1"/>
    <col min="5389" max="5390" width="8.75" style="67" customWidth="1"/>
    <col min="5391" max="5401" width="9.625" style="67" customWidth="1"/>
    <col min="5402" max="5402" width="12.625" style="67" customWidth="1"/>
    <col min="5403" max="5632" width="8.625" style="67"/>
    <col min="5633" max="5633" width="17" style="67" customWidth="1"/>
    <col min="5634" max="5634" width="9.375" style="67" customWidth="1"/>
    <col min="5635" max="5635" width="1.75" style="67" customWidth="1"/>
    <col min="5636" max="5637" width="9.375" style="67" customWidth="1"/>
    <col min="5638" max="5638" width="1.125" style="67" customWidth="1"/>
    <col min="5639" max="5640" width="8.75" style="67" customWidth="1"/>
    <col min="5641" max="5641" width="2.125" style="67" customWidth="1"/>
    <col min="5642" max="5643" width="9.375" style="67" customWidth="1"/>
    <col min="5644" max="5644" width="1.125" style="67" customWidth="1"/>
    <col min="5645" max="5646" width="8.75" style="67" customWidth="1"/>
    <col min="5647" max="5657" width="9.625" style="67" customWidth="1"/>
    <col min="5658" max="5658" width="12.625" style="67" customWidth="1"/>
    <col min="5659" max="5888" width="8.625" style="67"/>
    <col min="5889" max="5889" width="17" style="67" customWidth="1"/>
    <col min="5890" max="5890" width="9.375" style="67" customWidth="1"/>
    <col min="5891" max="5891" width="1.75" style="67" customWidth="1"/>
    <col min="5892" max="5893" width="9.375" style="67" customWidth="1"/>
    <col min="5894" max="5894" width="1.125" style="67" customWidth="1"/>
    <col min="5895" max="5896" width="8.75" style="67" customWidth="1"/>
    <col min="5897" max="5897" width="2.125" style="67" customWidth="1"/>
    <col min="5898" max="5899" width="9.375" style="67" customWidth="1"/>
    <col min="5900" max="5900" width="1.125" style="67" customWidth="1"/>
    <col min="5901" max="5902" width="8.75" style="67" customWidth="1"/>
    <col min="5903" max="5913" width="9.625" style="67" customWidth="1"/>
    <col min="5914" max="5914" width="12.625" style="67" customWidth="1"/>
    <col min="5915" max="6144" width="8.625" style="67"/>
    <col min="6145" max="6145" width="17" style="67" customWidth="1"/>
    <col min="6146" max="6146" width="9.375" style="67" customWidth="1"/>
    <col min="6147" max="6147" width="1.75" style="67" customWidth="1"/>
    <col min="6148" max="6149" width="9.375" style="67" customWidth="1"/>
    <col min="6150" max="6150" width="1.125" style="67" customWidth="1"/>
    <col min="6151" max="6152" width="8.75" style="67" customWidth="1"/>
    <col min="6153" max="6153" width="2.125" style="67" customWidth="1"/>
    <col min="6154" max="6155" width="9.375" style="67" customWidth="1"/>
    <col min="6156" max="6156" width="1.125" style="67" customWidth="1"/>
    <col min="6157" max="6158" width="8.75" style="67" customWidth="1"/>
    <col min="6159" max="6169" width="9.625" style="67" customWidth="1"/>
    <col min="6170" max="6170" width="12.625" style="67" customWidth="1"/>
    <col min="6171" max="6400" width="8.625" style="67"/>
    <col min="6401" max="6401" width="17" style="67" customWidth="1"/>
    <col min="6402" max="6402" width="9.375" style="67" customWidth="1"/>
    <col min="6403" max="6403" width="1.75" style="67" customWidth="1"/>
    <col min="6404" max="6405" width="9.375" style="67" customWidth="1"/>
    <col min="6406" max="6406" width="1.125" style="67" customWidth="1"/>
    <col min="6407" max="6408" width="8.75" style="67" customWidth="1"/>
    <col min="6409" max="6409" width="2.125" style="67" customWidth="1"/>
    <col min="6410" max="6411" width="9.375" style="67" customWidth="1"/>
    <col min="6412" max="6412" width="1.125" style="67" customWidth="1"/>
    <col min="6413" max="6414" width="8.75" style="67" customWidth="1"/>
    <col min="6415" max="6425" width="9.625" style="67" customWidth="1"/>
    <col min="6426" max="6426" width="12.625" style="67" customWidth="1"/>
    <col min="6427" max="6656" width="8.625" style="67"/>
    <col min="6657" max="6657" width="17" style="67" customWidth="1"/>
    <col min="6658" max="6658" width="9.375" style="67" customWidth="1"/>
    <col min="6659" max="6659" width="1.75" style="67" customWidth="1"/>
    <col min="6660" max="6661" width="9.375" style="67" customWidth="1"/>
    <col min="6662" max="6662" width="1.125" style="67" customWidth="1"/>
    <col min="6663" max="6664" width="8.75" style="67" customWidth="1"/>
    <col min="6665" max="6665" width="2.125" style="67" customWidth="1"/>
    <col min="6666" max="6667" width="9.375" style="67" customWidth="1"/>
    <col min="6668" max="6668" width="1.125" style="67" customWidth="1"/>
    <col min="6669" max="6670" width="8.75" style="67" customWidth="1"/>
    <col min="6671" max="6681" width="9.625" style="67" customWidth="1"/>
    <col min="6682" max="6682" width="12.625" style="67" customWidth="1"/>
    <col min="6683" max="6912" width="8.625" style="67"/>
    <col min="6913" max="6913" width="17" style="67" customWidth="1"/>
    <col min="6914" max="6914" width="9.375" style="67" customWidth="1"/>
    <col min="6915" max="6915" width="1.75" style="67" customWidth="1"/>
    <col min="6916" max="6917" width="9.375" style="67" customWidth="1"/>
    <col min="6918" max="6918" width="1.125" style="67" customWidth="1"/>
    <col min="6919" max="6920" width="8.75" style="67" customWidth="1"/>
    <col min="6921" max="6921" width="2.125" style="67" customWidth="1"/>
    <col min="6922" max="6923" width="9.375" style="67" customWidth="1"/>
    <col min="6924" max="6924" width="1.125" style="67" customWidth="1"/>
    <col min="6925" max="6926" width="8.75" style="67" customWidth="1"/>
    <col min="6927" max="6937" width="9.625" style="67" customWidth="1"/>
    <col min="6938" max="6938" width="12.625" style="67" customWidth="1"/>
    <col min="6939" max="7168" width="8.625" style="67"/>
    <col min="7169" max="7169" width="17" style="67" customWidth="1"/>
    <col min="7170" max="7170" width="9.375" style="67" customWidth="1"/>
    <col min="7171" max="7171" width="1.75" style="67" customWidth="1"/>
    <col min="7172" max="7173" width="9.375" style="67" customWidth="1"/>
    <col min="7174" max="7174" width="1.125" style="67" customWidth="1"/>
    <col min="7175" max="7176" width="8.75" style="67" customWidth="1"/>
    <col min="7177" max="7177" width="2.125" style="67" customWidth="1"/>
    <col min="7178" max="7179" width="9.375" style="67" customWidth="1"/>
    <col min="7180" max="7180" width="1.125" style="67" customWidth="1"/>
    <col min="7181" max="7182" width="8.75" style="67" customWidth="1"/>
    <col min="7183" max="7193" width="9.625" style="67" customWidth="1"/>
    <col min="7194" max="7194" width="12.625" style="67" customWidth="1"/>
    <col min="7195" max="7424" width="8.625" style="67"/>
    <col min="7425" max="7425" width="17" style="67" customWidth="1"/>
    <col min="7426" max="7426" width="9.375" style="67" customWidth="1"/>
    <col min="7427" max="7427" width="1.75" style="67" customWidth="1"/>
    <col min="7428" max="7429" width="9.375" style="67" customWidth="1"/>
    <col min="7430" max="7430" width="1.125" style="67" customWidth="1"/>
    <col min="7431" max="7432" width="8.75" style="67" customWidth="1"/>
    <col min="7433" max="7433" width="2.125" style="67" customWidth="1"/>
    <col min="7434" max="7435" width="9.375" style="67" customWidth="1"/>
    <col min="7436" max="7436" width="1.125" style="67" customWidth="1"/>
    <col min="7437" max="7438" width="8.75" style="67" customWidth="1"/>
    <col min="7439" max="7449" width="9.625" style="67" customWidth="1"/>
    <col min="7450" max="7450" width="12.625" style="67" customWidth="1"/>
    <col min="7451" max="7680" width="8.625" style="67"/>
    <col min="7681" max="7681" width="17" style="67" customWidth="1"/>
    <col min="7682" max="7682" width="9.375" style="67" customWidth="1"/>
    <col min="7683" max="7683" width="1.75" style="67" customWidth="1"/>
    <col min="7684" max="7685" width="9.375" style="67" customWidth="1"/>
    <col min="7686" max="7686" width="1.125" style="67" customWidth="1"/>
    <col min="7687" max="7688" width="8.75" style="67" customWidth="1"/>
    <col min="7689" max="7689" width="2.125" style="67" customWidth="1"/>
    <col min="7690" max="7691" width="9.375" style="67" customWidth="1"/>
    <col min="7692" max="7692" width="1.125" style="67" customWidth="1"/>
    <col min="7693" max="7694" width="8.75" style="67" customWidth="1"/>
    <col min="7695" max="7705" width="9.625" style="67" customWidth="1"/>
    <col min="7706" max="7706" width="12.625" style="67" customWidth="1"/>
    <col min="7707" max="7936" width="8.625" style="67"/>
    <col min="7937" max="7937" width="17" style="67" customWidth="1"/>
    <col min="7938" max="7938" width="9.375" style="67" customWidth="1"/>
    <col min="7939" max="7939" width="1.75" style="67" customWidth="1"/>
    <col min="7940" max="7941" width="9.375" style="67" customWidth="1"/>
    <col min="7942" max="7942" width="1.125" style="67" customWidth="1"/>
    <col min="7943" max="7944" width="8.75" style="67" customWidth="1"/>
    <col min="7945" max="7945" width="2.125" style="67" customWidth="1"/>
    <col min="7946" max="7947" width="9.375" style="67" customWidth="1"/>
    <col min="7948" max="7948" width="1.125" style="67" customWidth="1"/>
    <col min="7949" max="7950" width="8.75" style="67" customWidth="1"/>
    <col min="7951" max="7961" width="9.625" style="67" customWidth="1"/>
    <col min="7962" max="7962" width="12.625" style="67" customWidth="1"/>
    <col min="7963" max="8192" width="8.625" style="67"/>
    <col min="8193" max="8193" width="17" style="67" customWidth="1"/>
    <col min="8194" max="8194" width="9.375" style="67" customWidth="1"/>
    <col min="8195" max="8195" width="1.75" style="67" customWidth="1"/>
    <col min="8196" max="8197" width="9.375" style="67" customWidth="1"/>
    <col min="8198" max="8198" width="1.125" style="67" customWidth="1"/>
    <col min="8199" max="8200" width="8.75" style="67" customWidth="1"/>
    <col min="8201" max="8201" width="2.125" style="67" customWidth="1"/>
    <col min="8202" max="8203" width="9.375" style="67" customWidth="1"/>
    <col min="8204" max="8204" width="1.125" style="67" customWidth="1"/>
    <col min="8205" max="8206" width="8.75" style="67" customWidth="1"/>
    <col min="8207" max="8217" width="9.625" style="67" customWidth="1"/>
    <col min="8218" max="8218" width="12.625" style="67" customWidth="1"/>
    <col min="8219" max="8448" width="8.625" style="67"/>
    <col min="8449" max="8449" width="17" style="67" customWidth="1"/>
    <col min="8450" max="8450" width="9.375" style="67" customWidth="1"/>
    <col min="8451" max="8451" width="1.75" style="67" customWidth="1"/>
    <col min="8452" max="8453" width="9.375" style="67" customWidth="1"/>
    <col min="8454" max="8454" width="1.125" style="67" customWidth="1"/>
    <col min="8455" max="8456" width="8.75" style="67" customWidth="1"/>
    <col min="8457" max="8457" width="2.125" style="67" customWidth="1"/>
    <col min="8458" max="8459" width="9.375" style="67" customWidth="1"/>
    <col min="8460" max="8460" width="1.125" style="67" customWidth="1"/>
    <col min="8461" max="8462" width="8.75" style="67" customWidth="1"/>
    <col min="8463" max="8473" width="9.625" style="67" customWidth="1"/>
    <col min="8474" max="8474" width="12.625" style="67" customWidth="1"/>
    <col min="8475" max="8704" width="8.625" style="67"/>
    <col min="8705" max="8705" width="17" style="67" customWidth="1"/>
    <col min="8706" max="8706" width="9.375" style="67" customWidth="1"/>
    <col min="8707" max="8707" width="1.75" style="67" customWidth="1"/>
    <col min="8708" max="8709" width="9.375" style="67" customWidth="1"/>
    <col min="8710" max="8710" width="1.125" style="67" customWidth="1"/>
    <col min="8711" max="8712" width="8.75" style="67" customWidth="1"/>
    <col min="8713" max="8713" width="2.125" style="67" customWidth="1"/>
    <col min="8714" max="8715" width="9.375" style="67" customWidth="1"/>
    <col min="8716" max="8716" width="1.125" style="67" customWidth="1"/>
    <col min="8717" max="8718" width="8.75" style="67" customWidth="1"/>
    <col min="8719" max="8729" width="9.625" style="67" customWidth="1"/>
    <col min="8730" max="8730" width="12.625" style="67" customWidth="1"/>
    <col min="8731" max="8960" width="8.625" style="67"/>
    <col min="8961" max="8961" width="17" style="67" customWidth="1"/>
    <col min="8962" max="8962" width="9.375" style="67" customWidth="1"/>
    <col min="8963" max="8963" width="1.75" style="67" customWidth="1"/>
    <col min="8964" max="8965" width="9.375" style="67" customWidth="1"/>
    <col min="8966" max="8966" width="1.125" style="67" customWidth="1"/>
    <col min="8967" max="8968" width="8.75" style="67" customWidth="1"/>
    <col min="8969" max="8969" width="2.125" style="67" customWidth="1"/>
    <col min="8970" max="8971" width="9.375" style="67" customWidth="1"/>
    <col min="8972" max="8972" width="1.125" style="67" customWidth="1"/>
    <col min="8973" max="8974" width="8.75" style="67" customWidth="1"/>
    <col min="8975" max="8985" width="9.625" style="67" customWidth="1"/>
    <col min="8986" max="8986" width="12.625" style="67" customWidth="1"/>
    <col min="8987" max="9216" width="8.625" style="67"/>
    <col min="9217" max="9217" width="17" style="67" customWidth="1"/>
    <col min="9218" max="9218" width="9.375" style="67" customWidth="1"/>
    <col min="9219" max="9219" width="1.75" style="67" customWidth="1"/>
    <col min="9220" max="9221" width="9.375" style="67" customWidth="1"/>
    <col min="9222" max="9222" width="1.125" style="67" customWidth="1"/>
    <col min="9223" max="9224" width="8.75" style="67" customWidth="1"/>
    <col min="9225" max="9225" width="2.125" style="67" customWidth="1"/>
    <col min="9226" max="9227" width="9.375" style="67" customWidth="1"/>
    <col min="9228" max="9228" width="1.125" style="67" customWidth="1"/>
    <col min="9229" max="9230" width="8.75" style="67" customWidth="1"/>
    <col min="9231" max="9241" width="9.625" style="67" customWidth="1"/>
    <col min="9242" max="9242" width="12.625" style="67" customWidth="1"/>
    <col min="9243" max="9472" width="8.625" style="67"/>
    <col min="9473" max="9473" width="17" style="67" customWidth="1"/>
    <col min="9474" max="9474" width="9.375" style="67" customWidth="1"/>
    <col min="9475" max="9475" width="1.75" style="67" customWidth="1"/>
    <col min="9476" max="9477" width="9.375" style="67" customWidth="1"/>
    <col min="9478" max="9478" width="1.125" style="67" customWidth="1"/>
    <col min="9479" max="9480" width="8.75" style="67" customWidth="1"/>
    <col min="9481" max="9481" width="2.125" style="67" customWidth="1"/>
    <col min="9482" max="9483" width="9.375" style="67" customWidth="1"/>
    <col min="9484" max="9484" width="1.125" style="67" customWidth="1"/>
    <col min="9485" max="9486" width="8.75" style="67" customWidth="1"/>
    <col min="9487" max="9497" width="9.625" style="67" customWidth="1"/>
    <col min="9498" max="9498" width="12.625" style="67" customWidth="1"/>
    <col min="9499" max="9728" width="8.625" style="67"/>
    <col min="9729" max="9729" width="17" style="67" customWidth="1"/>
    <col min="9730" max="9730" width="9.375" style="67" customWidth="1"/>
    <col min="9731" max="9731" width="1.75" style="67" customWidth="1"/>
    <col min="9732" max="9733" width="9.375" style="67" customWidth="1"/>
    <col min="9734" max="9734" width="1.125" style="67" customWidth="1"/>
    <col min="9735" max="9736" width="8.75" style="67" customWidth="1"/>
    <col min="9737" max="9737" width="2.125" style="67" customWidth="1"/>
    <col min="9738" max="9739" width="9.375" style="67" customWidth="1"/>
    <col min="9740" max="9740" width="1.125" style="67" customWidth="1"/>
    <col min="9741" max="9742" width="8.75" style="67" customWidth="1"/>
    <col min="9743" max="9753" width="9.625" style="67" customWidth="1"/>
    <col min="9754" max="9754" width="12.625" style="67" customWidth="1"/>
    <col min="9755" max="9984" width="8.625" style="67"/>
    <col min="9985" max="9985" width="17" style="67" customWidth="1"/>
    <col min="9986" max="9986" width="9.375" style="67" customWidth="1"/>
    <col min="9987" max="9987" width="1.75" style="67" customWidth="1"/>
    <col min="9988" max="9989" width="9.375" style="67" customWidth="1"/>
    <col min="9990" max="9990" width="1.125" style="67" customWidth="1"/>
    <col min="9991" max="9992" width="8.75" style="67" customWidth="1"/>
    <col min="9993" max="9993" width="2.125" style="67" customWidth="1"/>
    <col min="9994" max="9995" width="9.375" style="67" customWidth="1"/>
    <col min="9996" max="9996" width="1.125" style="67" customWidth="1"/>
    <col min="9997" max="9998" width="8.75" style="67" customWidth="1"/>
    <col min="9999" max="10009" width="9.625" style="67" customWidth="1"/>
    <col min="10010" max="10010" width="12.625" style="67" customWidth="1"/>
    <col min="10011" max="10240" width="8.625" style="67"/>
    <col min="10241" max="10241" width="17" style="67" customWidth="1"/>
    <col min="10242" max="10242" width="9.375" style="67" customWidth="1"/>
    <col min="10243" max="10243" width="1.75" style="67" customWidth="1"/>
    <col min="10244" max="10245" width="9.375" style="67" customWidth="1"/>
    <col min="10246" max="10246" width="1.125" style="67" customWidth="1"/>
    <col min="10247" max="10248" width="8.75" style="67" customWidth="1"/>
    <col min="10249" max="10249" width="2.125" style="67" customWidth="1"/>
    <col min="10250" max="10251" width="9.375" style="67" customWidth="1"/>
    <col min="10252" max="10252" width="1.125" style="67" customWidth="1"/>
    <col min="10253" max="10254" width="8.75" style="67" customWidth="1"/>
    <col min="10255" max="10265" width="9.625" style="67" customWidth="1"/>
    <col min="10266" max="10266" width="12.625" style="67" customWidth="1"/>
    <col min="10267" max="10496" width="8.625" style="67"/>
    <col min="10497" max="10497" width="17" style="67" customWidth="1"/>
    <col min="10498" max="10498" width="9.375" style="67" customWidth="1"/>
    <col min="10499" max="10499" width="1.75" style="67" customWidth="1"/>
    <col min="10500" max="10501" width="9.375" style="67" customWidth="1"/>
    <col min="10502" max="10502" width="1.125" style="67" customWidth="1"/>
    <col min="10503" max="10504" width="8.75" style="67" customWidth="1"/>
    <col min="10505" max="10505" width="2.125" style="67" customWidth="1"/>
    <col min="10506" max="10507" width="9.375" style="67" customWidth="1"/>
    <col min="10508" max="10508" width="1.125" style="67" customWidth="1"/>
    <col min="10509" max="10510" width="8.75" style="67" customWidth="1"/>
    <col min="10511" max="10521" width="9.625" style="67" customWidth="1"/>
    <col min="10522" max="10522" width="12.625" style="67" customWidth="1"/>
    <col min="10523" max="10752" width="8.625" style="67"/>
    <col min="10753" max="10753" width="17" style="67" customWidth="1"/>
    <col min="10754" max="10754" width="9.375" style="67" customWidth="1"/>
    <col min="10755" max="10755" width="1.75" style="67" customWidth="1"/>
    <col min="10756" max="10757" width="9.375" style="67" customWidth="1"/>
    <col min="10758" max="10758" width="1.125" style="67" customWidth="1"/>
    <col min="10759" max="10760" width="8.75" style="67" customWidth="1"/>
    <col min="10761" max="10761" width="2.125" style="67" customWidth="1"/>
    <col min="10762" max="10763" width="9.375" style="67" customWidth="1"/>
    <col min="10764" max="10764" width="1.125" style="67" customWidth="1"/>
    <col min="10765" max="10766" width="8.75" style="67" customWidth="1"/>
    <col min="10767" max="10777" width="9.625" style="67" customWidth="1"/>
    <col min="10778" max="10778" width="12.625" style="67" customWidth="1"/>
    <col min="10779" max="11008" width="8.625" style="67"/>
    <col min="11009" max="11009" width="17" style="67" customWidth="1"/>
    <col min="11010" max="11010" width="9.375" style="67" customWidth="1"/>
    <col min="11011" max="11011" width="1.75" style="67" customWidth="1"/>
    <col min="11012" max="11013" width="9.375" style="67" customWidth="1"/>
    <col min="11014" max="11014" width="1.125" style="67" customWidth="1"/>
    <col min="11015" max="11016" width="8.75" style="67" customWidth="1"/>
    <col min="11017" max="11017" width="2.125" style="67" customWidth="1"/>
    <col min="11018" max="11019" width="9.375" style="67" customWidth="1"/>
    <col min="11020" max="11020" width="1.125" style="67" customWidth="1"/>
    <col min="11021" max="11022" width="8.75" style="67" customWidth="1"/>
    <col min="11023" max="11033" width="9.625" style="67" customWidth="1"/>
    <col min="11034" max="11034" width="12.625" style="67" customWidth="1"/>
    <col min="11035" max="11264" width="8.625" style="67"/>
    <col min="11265" max="11265" width="17" style="67" customWidth="1"/>
    <col min="11266" max="11266" width="9.375" style="67" customWidth="1"/>
    <col min="11267" max="11267" width="1.75" style="67" customWidth="1"/>
    <col min="11268" max="11269" width="9.375" style="67" customWidth="1"/>
    <col min="11270" max="11270" width="1.125" style="67" customWidth="1"/>
    <col min="11271" max="11272" width="8.75" style="67" customWidth="1"/>
    <col min="11273" max="11273" width="2.125" style="67" customWidth="1"/>
    <col min="11274" max="11275" width="9.375" style="67" customWidth="1"/>
    <col min="11276" max="11276" width="1.125" style="67" customWidth="1"/>
    <col min="11277" max="11278" width="8.75" style="67" customWidth="1"/>
    <col min="11279" max="11289" width="9.625" style="67" customWidth="1"/>
    <col min="11290" max="11290" width="12.625" style="67" customWidth="1"/>
    <col min="11291" max="11520" width="8.625" style="67"/>
    <col min="11521" max="11521" width="17" style="67" customWidth="1"/>
    <col min="11522" max="11522" width="9.375" style="67" customWidth="1"/>
    <col min="11523" max="11523" width="1.75" style="67" customWidth="1"/>
    <col min="11524" max="11525" width="9.375" style="67" customWidth="1"/>
    <col min="11526" max="11526" width="1.125" style="67" customWidth="1"/>
    <col min="11527" max="11528" width="8.75" style="67" customWidth="1"/>
    <col min="11529" max="11529" width="2.125" style="67" customWidth="1"/>
    <col min="11530" max="11531" width="9.375" style="67" customWidth="1"/>
    <col min="11532" max="11532" width="1.125" style="67" customWidth="1"/>
    <col min="11533" max="11534" width="8.75" style="67" customWidth="1"/>
    <col min="11535" max="11545" width="9.625" style="67" customWidth="1"/>
    <col min="11546" max="11546" width="12.625" style="67" customWidth="1"/>
    <col min="11547" max="11776" width="8.625" style="67"/>
    <col min="11777" max="11777" width="17" style="67" customWidth="1"/>
    <col min="11778" max="11778" width="9.375" style="67" customWidth="1"/>
    <col min="11779" max="11779" width="1.75" style="67" customWidth="1"/>
    <col min="11780" max="11781" width="9.375" style="67" customWidth="1"/>
    <col min="11782" max="11782" width="1.125" style="67" customWidth="1"/>
    <col min="11783" max="11784" width="8.75" style="67" customWidth="1"/>
    <col min="11785" max="11785" width="2.125" style="67" customWidth="1"/>
    <col min="11786" max="11787" width="9.375" style="67" customWidth="1"/>
    <col min="11788" max="11788" width="1.125" style="67" customWidth="1"/>
    <col min="11789" max="11790" width="8.75" style="67" customWidth="1"/>
    <col min="11791" max="11801" width="9.625" style="67" customWidth="1"/>
    <col min="11802" max="11802" width="12.625" style="67" customWidth="1"/>
    <col min="11803" max="12032" width="8.625" style="67"/>
    <col min="12033" max="12033" width="17" style="67" customWidth="1"/>
    <col min="12034" max="12034" width="9.375" style="67" customWidth="1"/>
    <col min="12035" max="12035" width="1.75" style="67" customWidth="1"/>
    <col min="12036" max="12037" width="9.375" style="67" customWidth="1"/>
    <col min="12038" max="12038" width="1.125" style="67" customWidth="1"/>
    <col min="12039" max="12040" width="8.75" style="67" customWidth="1"/>
    <col min="12041" max="12041" width="2.125" style="67" customWidth="1"/>
    <col min="12042" max="12043" width="9.375" style="67" customWidth="1"/>
    <col min="12044" max="12044" width="1.125" style="67" customWidth="1"/>
    <col min="12045" max="12046" width="8.75" style="67" customWidth="1"/>
    <col min="12047" max="12057" width="9.625" style="67" customWidth="1"/>
    <col min="12058" max="12058" width="12.625" style="67" customWidth="1"/>
    <col min="12059" max="12288" width="8.625" style="67"/>
    <col min="12289" max="12289" width="17" style="67" customWidth="1"/>
    <col min="12290" max="12290" width="9.375" style="67" customWidth="1"/>
    <col min="12291" max="12291" width="1.75" style="67" customWidth="1"/>
    <col min="12292" max="12293" width="9.375" style="67" customWidth="1"/>
    <col min="12294" max="12294" width="1.125" style="67" customWidth="1"/>
    <col min="12295" max="12296" width="8.75" style="67" customWidth="1"/>
    <col min="12297" max="12297" width="2.125" style="67" customWidth="1"/>
    <col min="12298" max="12299" width="9.375" style="67" customWidth="1"/>
    <col min="12300" max="12300" width="1.125" style="67" customWidth="1"/>
    <col min="12301" max="12302" width="8.75" style="67" customWidth="1"/>
    <col min="12303" max="12313" width="9.625" style="67" customWidth="1"/>
    <col min="12314" max="12314" width="12.625" style="67" customWidth="1"/>
    <col min="12315" max="12544" width="8.625" style="67"/>
    <col min="12545" max="12545" width="17" style="67" customWidth="1"/>
    <col min="12546" max="12546" width="9.375" style="67" customWidth="1"/>
    <col min="12547" max="12547" width="1.75" style="67" customWidth="1"/>
    <col min="12548" max="12549" width="9.375" style="67" customWidth="1"/>
    <col min="12550" max="12550" width="1.125" style="67" customWidth="1"/>
    <col min="12551" max="12552" width="8.75" style="67" customWidth="1"/>
    <col min="12553" max="12553" width="2.125" style="67" customWidth="1"/>
    <col min="12554" max="12555" width="9.375" style="67" customWidth="1"/>
    <col min="12556" max="12556" width="1.125" style="67" customWidth="1"/>
    <col min="12557" max="12558" width="8.75" style="67" customWidth="1"/>
    <col min="12559" max="12569" width="9.625" style="67" customWidth="1"/>
    <col min="12570" max="12570" width="12.625" style="67" customWidth="1"/>
    <col min="12571" max="12800" width="8.625" style="67"/>
    <col min="12801" max="12801" width="17" style="67" customWidth="1"/>
    <col min="12802" max="12802" width="9.375" style="67" customWidth="1"/>
    <col min="12803" max="12803" width="1.75" style="67" customWidth="1"/>
    <col min="12804" max="12805" width="9.375" style="67" customWidth="1"/>
    <col min="12806" max="12806" width="1.125" style="67" customWidth="1"/>
    <col min="12807" max="12808" width="8.75" style="67" customWidth="1"/>
    <col min="12809" max="12809" width="2.125" style="67" customWidth="1"/>
    <col min="12810" max="12811" width="9.375" style="67" customWidth="1"/>
    <col min="12812" max="12812" width="1.125" style="67" customWidth="1"/>
    <col min="12813" max="12814" width="8.75" style="67" customWidth="1"/>
    <col min="12815" max="12825" width="9.625" style="67" customWidth="1"/>
    <col min="12826" max="12826" width="12.625" style="67" customWidth="1"/>
    <col min="12827" max="13056" width="8.625" style="67"/>
    <col min="13057" max="13057" width="17" style="67" customWidth="1"/>
    <col min="13058" max="13058" width="9.375" style="67" customWidth="1"/>
    <col min="13059" max="13059" width="1.75" style="67" customWidth="1"/>
    <col min="13060" max="13061" width="9.375" style="67" customWidth="1"/>
    <col min="13062" max="13062" width="1.125" style="67" customWidth="1"/>
    <col min="13063" max="13064" width="8.75" style="67" customWidth="1"/>
    <col min="13065" max="13065" width="2.125" style="67" customWidth="1"/>
    <col min="13066" max="13067" width="9.375" style="67" customWidth="1"/>
    <col min="13068" max="13068" width="1.125" style="67" customWidth="1"/>
    <col min="13069" max="13070" width="8.75" style="67" customWidth="1"/>
    <col min="13071" max="13081" width="9.625" style="67" customWidth="1"/>
    <col min="13082" max="13082" width="12.625" style="67" customWidth="1"/>
    <col min="13083" max="13312" width="8.625" style="67"/>
    <col min="13313" max="13313" width="17" style="67" customWidth="1"/>
    <col min="13314" max="13314" width="9.375" style="67" customWidth="1"/>
    <col min="13315" max="13315" width="1.75" style="67" customWidth="1"/>
    <col min="13316" max="13317" width="9.375" style="67" customWidth="1"/>
    <col min="13318" max="13318" width="1.125" style="67" customWidth="1"/>
    <col min="13319" max="13320" width="8.75" style="67" customWidth="1"/>
    <col min="13321" max="13321" width="2.125" style="67" customWidth="1"/>
    <col min="13322" max="13323" width="9.375" style="67" customWidth="1"/>
    <col min="13324" max="13324" width="1.125" style="67" customWidth="1"/>
    <col min="13325" max="13326" width="8.75" style="67" customWidth="1"/>
    <col min="13327" max="13337" width="9.625" style="67" customWidth="1"/>
    <col min="13338" max="13338" width="12.625" style="67" customWidth="1"/>
    <col min="13339" max="13568" width="8.625" style="67"/>
    <col min="13569" max="13569" width="17" style="67" customWidth="1"/>
    <col min="13570" max="13570" width="9.375" style="67" customWidth="1"/>
    <col min="13571" max="13571" width="1.75" style="67" customWidth="1"/>
    <col min="13572" max="13573" width="9.375" style="67" customWidth="1"/>
    <col min="13574" max="13574" width="1.125" style="67" customWidth="1"/>
    <col min="13575" max="13576" width="8.75" style="67" customWidth="1"/>
    <col min="13577" max="13577" width="2.125" style="67" customWidth="1"/>
    <col min="13578" max="13579" width="9.375" style="67" customWidth="1"/>
    <col min="13580" max="13580" width="1.125" style="67" customWidth="1"/>
    <col min="13581" max="13582" width="8.75" style="67" customWidth="1"/>
    <col min="13583" max="13593" width="9.625" style="67" customWidth="1"/>
    <col min="13594" max="13594" width="12.625" style="67" customWidth="1"/>
    <col min="13595" max="13824" width="8.625" style="67"/>
    <col min="13825" max="13825" width="17" style="67" customWidth="1"/>
    <col min="13826" max="13826" width="9.375" style="67" customWidth="1"/>
    <col min="13827" max="13827" width="1.75" style="67" customWidth="1"/>
    <col min="13828" max="13829" width="9.375" style="67" customWidth="1"/>
    <col min="13830" max="13830" width="1.125" style="67" customWidth="1"/>
    <col min="13831" max="13832" width="8.75" style="67" customWidth="1"/>
    <col min="13833" max="13833" width="2.125" style="67" customWidth="1"/>
    <col min="13834" max="13835" width="9.375" style="67" customWidth="1"/>
    <col min="13836" max="13836" width="1.125" style="67" customWidth="1"/>
    <col min="13837" max="13838" width="8.75" style="67" customWidth="1"/>
    <col min="13839" max="13849" width="9.625" style="67" customWidth="1"/>
    <col min="13850" max="13850" width="12.625" style="67" customWidth="1"/>
    <col min="13851" max="14080" width="8.625" style="67"/>
    <col min="14081" max="14081" width="17" style="67" customWidth="1"/>
    <col min="14082" max="14082" width="9.375" style="67" customWidth="1"/>
    <col min="14083" max="14083" width="1.75" style="67" customWidth="1"/>
    <col min="14084" max="14085" width="9.375" style="67" customWidth="1"/>
    <col min="14086" max="14086" width="1.125" style="67" customWidth="1"/>
    <col min="14087" max="14088" width="8.75" style="67" customWidth="1"/>
    <col min="14089" max="14089" width="2.125" style="67" customWidth="1"/>
    <col min="14090" max="14091" width="9.375" style="67" customWidth="1"/>
    <col min="14092" max="14092" width="1.125" style="67" customWidth="1"/>
    <col min="14093" max="14094" width="8.75" style="67" customWidth="1"/>
    <col min="14095" max="14105" width="9.625" style="67" customWidth="1"/>
    <col min="14106" max="14106" width="12.625" style="67" customWidth="1"/>
    <col min="14107" max="14336" width="8.625" style="67"/>
    <col min="14337" max="14337" width="17" style="67" customWidth="1"/>
    <col min="14338" max="14338" width="9.375" style="67" customWidth="1"/>
    <col min="14339" max="14339" width="1.75" style="67" customWidth="1"/>
    <col min="14340" max="14341" width="9.375" style="67" customWidth="1"/>
    <col min="14342" max="14342" width="1.125" style="67" customWidth="1"/>
    <col min="14343" max="14344" width="8.75" style="67" customWidth="1"/>
    <col min="14345" max="14345" width="2.125" style="67" customWidth="1"/>
    <col min="14346" max="14347" width="9.375" style="67" customWidth="1"/>
    <col min="14348" max="14348" width="1.125" style="67" customWidth="1"/>
    <col min="14349" max="14350" width="8.75" style="67" customWidth="1"/>
    <col min="14351" max="14361" width="9.625" style="67" customWidth="1"/>
    <col min="14362" max="14362" width="12.625" style="67" customWidth="1"/>
    <col min="14363" max="14592" width="8.625" style="67"/>
    <col min="14593" max="14593" width="17" style="67" customWidth="1"/>
    <col min="14594" max="14594" width="9.375" style="67" customWidth="1"/>
    <col min="14595" max="14595" width="1.75" style="67" customWidth="1"/>
    <col min="14596" max="14597" width="9.375" style="67" customWidth="1"/>
    <col min="14598" max="14598" width="1.125" style="67" customWidth="1"/>
    <col min="14599" max="14600" width="8.75" style="67" customWidth="1"/>
    <col min="14601" max="14601" width="2.125" style="67" customWidth="1"/>
    <col min="14602" max="14603" width="9.375" style="67" customWidth="1"/>
    <col min="14604" max="14604" width="1.125" style="67" customWidth="1"/>
    <col min="14605" max="14606" width="8.75" style="67" customWidth="1"/>
    <col min="14607" max="14617" width="9.625" style="67" customWidth="1"/>
    <col min="14618" max="14618" width="12.625" style="67" customWidth="1"/>
    <col min="14619" max="14848" width="8.625" style="67"/>
    <col min="14849" max="14849" width="17" style="67" customWidth="1"/>
    <col min="14850" max="14850" width="9.375" style="67" customWidth="1"/>
    <col min="14851" max="14851" width="1.75" style="67" customWidth="1"/>
    <col min="14852" max="14853" width="9.375" style="67" customWidth="1"/>
    <col min="14854" max="14854" width="1.125" style="67" customWidth="1"/>
    <col min="14855" max="14856" width="8.75" style="67" customWidth="1"/>
    <col min="14857" max="14857" width="2.125" style="67" customWidth="1"/>
    <col min="14858" max="14859" width="9.375" style="67" customWidth="1"/>
    <col min="14860" max="14860" width="1.125" style="67" customWidth="1"/>
    <col min="14861" max="14862" width="8.75" style="67" customWidth="1"/>
    <col min="14863" max="14873" width="9.625" style="67" customWidth="1"/>
    <col min="14874" max="14874" width="12.625" style="67" customWidth="1"/>
    <col min="14875" max="15104" width="8.625" style="67"/>
    <col min="15105" max="15105" width="17" style="67" customWidth="1"/>
    <col min="15106" max="15106" width="9.375" style="67" customWidth="1"/>
    <col min="15107" max="15107" width="1.75" style="67" customWidth="1"/>
    <col min="15108" max="15109" width="9.375" style="67" customWidth="1"/>
    <col min="15110" max="15110" width="1.125" style="67" customWidth="1"/>
    <col min="15111" max="15112" width="8.75" style="67" customWidth="1"/>
    <col min="15113" max="15113" width="2.125" style="67" customWidth="1"/>
    <col min="15114" max="15115" width="9.375" style="67" customWidth="1"/>
    <col min="15116" max="15116" width="1.125" style="67" customWidth="1"/>
    <col min="15117" max="15118" width="8.75" style="67" customWidth="1"/>
    <col min="15119" max="15129" width="9.625" style="67" customWidth="1"/>
    <col min="15130" max="15130" width="12.625" style="67" customWidth="1"/>
    <col min="15131" max="15360" width="8.625" style="67"/>
    <col min="15361" max="15361" width="17" style="67" customWidth="1"/>
    <col min="15362" max="15362" width="9.375" style="67" customWidth="1"/>
    <col min="15363" max="15363" width="1.75" style="67" customWidth="1"/>
    <col min="15364" max="15365" width="9.375" style="67" customWidth="1"/>
    <col min="15366" max="15366" width="1.125" style="67" customWidth="1"/>
    <col min="15367" max="15368" width="8.75" style="67" customWidth="1"/>
    <col min="15369" max="15369" width="2.125" style="67" customWidth="1"/>
    <col min="15370" max="15371" width="9.375" style="67" customWidth="1"/>
    <col min="15372" max="15372" width="1.125" style="67" customWidth="1"/>
    <col min="15373" max="15374" width="8.75" style="67" customWidth="1"/>
    <col min="15375" max="15385" width="9.625" style="67" customWidth="1"/>
    <col min="15386" max="15386" width="12.625" style="67" customWidth="1"/>
    <col min="15387" max="15616" width="8.625" style="67"/>
    <col min="15617" max="15617" width="17" style="67" customWidth="1"/>
    <col min="15618" max="15618" width="9.375" style="67" customWidth="1"/>
    <col min="15619" max="15619" width="1.75" style="67" customWidth="1"/>
    <col min="15620" max="15621" width="9.375" style="67" customWidth="1"/>
    <col min="15622" max="15622" width="1.125" style="67" customWidth="1"/>
    <col min="15623" max="15624" width="8.75" style="67" customWidth="1"/>
    <col min="15625" max="15625" width="2.125" style="67" customWidth="1"/>
    <col min="15626" max="15627" width="9.375" style="67" customWidth="1"/>
    <col min="15628" max="15628" width="1.125" style="67" customWidth="1"/>
    <col min="15629" max="15630" width="8.75" style="67" customWidth="1"/>
    <col min="15631" max="15641" width="9.625" style="67" customWidth="1"/>
    <col min="15642" max="15642" width="12.625" style="67" customWidth="1"/>
    <col min="15643" max="15872" width="8.625" style="67"/>
    <col min="15873" max="15873" width="17" style="67" customWidth="1"/>
    <col min="15874" max="15874" width="9.375" style="67" customWidth="1"/>
    <col min="15875" max="15875" width="1.75" style="67" customWidth="1"/>
    <col min="15876" max="15877" width="9.375" style="67" customWidth="1"/>
    <col min="15878" max="15878" width="1.125" style="67" customWidth="1"/>
    <col min="15879" max="15880" width="8.75" style="67" customWidth="1"/>
    <col min="15881" max="15881" width="2.125" style="67" customWidth="1"/>
    <col min="15882" max="15883" width="9.375" style="67" customWidth="1"/>
    <col min="15884" max="15884" width="1.125" style="67" customWidth="1"/>
    <col min="15885" max="15886" width="8.75" style="67" customWidth="1"/>
    <col min="15887" max="15897" width="9.625" style="67" customWidth="1"/>
    <col min="15898" max="15898" width="12.625" style="67" customWidth="1"/>
    <col min="15899" max="16128" width="8.625" style="67"/>
    <col min="16129" max="16129" width="17" style="67" customWidth="1"/>
    <col min="16130" max="16130" width="9.375" style="67" customWidth="1"/>
    <col min="16131" max="16131" width="1.75" style="67" customWidth="1"/>
    <col min="16132" max="16133" width="9.375" style="67" customWidth="1"/>
    <col min="16134" max="16134" width="1.125" style="67" customWidth="1"/>
    <col min="16135" max="16136" width="8.75" style="67" customWidth="1"/>
    <col min="16137" max="16137" width="2.125" style="67" customWidth="1"/>
    <col min="16138" max="16139" width="9.375" style="67" customWidth="1"/>
    <col min="16140" max="16140" width="1.125" style="67" customWidth="1"/>
    <col min="16141" max="16142" width="8.75" style="67" customWidth="1"/>
    <col min="16143" max="16153" width="9.625" style="67" customWidth="1"/>
    <col min="16154" max="16154" width="12.625" style="67" customWidth="1"/>
    <col min="16155" max="16384" width="8.625" style="67"/>
  </cols>
  <sheetData>
    <row r="1" spans="1:25" x14ac:dyDescent="0.2">
      <c r="A1" s="211" t="s">
        <v>359</v>
      </c>
      <c r="B1" s="651"/>
      <c r="C1" s="694"/>
      <c r="D1" s="664"/>
      <c r="E1" s="664"/>
      <c r="F1" s="664"/>
      <c r="G1" s="651"/>
      <c r="H1" s="664"/>
      <c r="I1" s="664"/>
      <c r="J1" s="664"/>
      <c r="K1" s="651"/>
      <c r="L1" s="664"/>
      <c r="M1" s="664"/>
      <c r="N1" s="665"/>
      <c r="Y1" s="68"/>
    </row>
    <row r="2" spans="1:25" x14ac:dyDescent="0.2">
      <c r="A2" s="215"/>
      <c r="B2" s="695"/>
      <c r="C2" s="696"/>
      <c r="D2" s="697"/>
      <c r="E2" s="697"/>
      <c r="F2" s="669" t="s">
        <v>396</v>
      </c>
      <c r="G2" s="652"/>
      <c r="H2" s="670"/>
      <c r="I2" s="698"/>
      <c r="J2" s="697"/>
      <c r="K2" s="699"/>
      <c r="L2" s="669" t="s">
        <v>474</v>
      </c>
      <c r="M2" s="669"/>
      <c r="N2" s="671"/>
      <c r="Y2" s="70"/>
    </row>
    <row r="3" spans="1:25" x14ac:dyDescent="0.2">
      <c r="A3" s="215"/>
      <c r="B3" s="653"/>
      <c r="C3" s="674"/>
      <c r="D3" s="700" t="s">
        <v>62</v>
      </c>
      <c r="E3" s="700" t="s">
        <v>56</v>
      </c>
      <c r="F3" s="701"/>
      <c r="G3" s="653" t="s">
        <v>171</v>
      </c>
      <c r="H3" s="674" t="s">
        <v>172</v>
      </c>
      <c r="I3" s="674"/>
      <c r="J3" s="702" t="s">
        <v>62</v>
      </c>
      <c r="K3" s="702" t="s">
        <v>56</v>
      </c>
      <c r="L3" s="701"/>
      <c r="M3" s="674" t="s">
        <v>171</v>
      </c>
      <c r="N3" s="675" t="s">
        <v>172</v>
      </c>
      <c r="Y3" s="70"/>
    </row>
    <row r="4" spans="1:25" x14ac:dyDescent="0.2">
      <c r="A4" s="219" t="s">
        <v>492</v>
      </c>
      <c r="B4" s="652" t="s">
        <v>405</v>
      </c>
      <c r="C4" s="703"/>
      <c r="D4" s="709">
        <v>2024</v>
      </c>
      <c r="E4" s="709">
        <v>2024</v>
      </c>
      <c r="F4" s="654"/>
      <c r="G4" s="654" t="s">
        <v>173</v>
      </c>
      <c r="H4" s="703" t="s">
        <v>174</v>
      </c>
      <c r="I4" s="703"/>
      <c r="J4" s="709">
        <v>2024</v>
      </c>
      <c r="K4" s="709">
        <v>2024</v>
      </c>
      <c r="L4" s="654"/>
      <c r="M4" s="703" t="s">
        <v>173</v>
      </c>
      <c r="N4" s="704" t="s">
        <v>174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5" ht="14.25" customHeight="1" x14ac:dyDescent="0.2">
      <c r="A5" s="221"/>
      <c r="F5" s="705"/>
      <c r="G5" s="655" t="s">
        <v>395</v>
      </c>
      <c r="J5" s="656"/>
      <c r="L5" s="705"/>
      <c r="N5" s="224"/>
      <c r="Y5" s="68"/>
    </row>
    <row r="6" spans="1:25" ht="10.9" customHeight="1" x14ac:dyDescent="0.2">
      <c r="A6" s="223"/>
      <c r="J6" s="656"/>
      <c r="N6" s="224"/>
      <c r="Y6" s="68"/>
    </row>
    <row r="7" spans="1:25" ht="12.75" customHeight="1" x14ac:dyDescent="0.2">
      <c r="A7" s="223" t="s">
        <v>175</v>
      </c>
      <c r="B7" s="658">
        <v>258</v>
      </c>
      <c r="D7" s="98">
        <v>270</v>
      </c>
      <c r="E7" s="98">
        <v>270</v>
      </c>
      <c r="G7" s="657">
        <f>E7-D7</f>
        <v>0</v>
      </c>
      <c r="H7" s="97">
        <f>E7-B7</f>
        <v>12</v>
      </c>
      <c r="J7" s="658">
        <v>270</v>
      </c>
      <c r="K7" s="658">
        <v>270</v>
      </c>
      <c r="M7" s="657">
        <f>K7-J7</f>
        <v>0</v>
      </c>
      <c r="N7" s="224">
        <f t="shared" ref="N7:N41" si="0">K7-E7</f>
        <v>0</v>
      </c>
      <c r="O7" s="157"/>
      <c r="Y7" s="68"/>
    </row>
    <row r="8" spans="1:25" x14ac:dyDescent="0.2">
      <c r="A8" s="223" t="s">
        <v>176</v>
      </c>
      <c r="B8" s="658">
        <v>756</v>
      </c>
      <c r="D8" s="98">
        <v>860</v>
      </c>
      <c r="E8" s="98">
        <v>860</v>
      </c>
      <c r="G8" s="657">
        <f t="shared" ref="G8:G70" si="1">E8-D8</f>
        <v>0</v>
      </c>
      <c r="H8" s="97">
        <f t="shared" ref="H8:H72" si="2">E8-B8</f>
        <v>104</v>
      </c>
      <c r="J8" s="658">
        <v>900</v>
      </c>
      <c r="K8" s="658">
        <v>900</v>
      </c>
      <c r="M8" s="657">
        <f t="shared" ref="M8:M70" si="3">K8-J8</f>
        <v>0</v>
      </c>
      <c r="N8" s="224">
        <f t="shared" si="0"/>
        <v>40</v>
      </c>
      <c r="O8" s="157"/>
      <c r="Y8" s="68"/>
    </row>
    <row r="9" spans="1:25" x14ac:dyDescent="0.2">
      <c r="A9" s="223" t="s">
        <v>177</v>
      </c>
      <c r="B9" s="658">
        <v>374</v>
      </c>
      <c r="D9" s="98">
        <v>400</v>
      </c>
      <c r="E9" s="98">
        <v>400</v>
      </c>
      <c r="G9" s="657">
        <f t="shared" si="1"/>
        <v>0</v>
      </c>
      <c r="H9" s="97">
        <f t="shared" si="2"/>
        <v>26</v>
      </c>
      <c r="J9" s="658">
        <v>465</v>
      </c>
      <c r="K9" s="658">
        <v>465</v>
      </c>
      <c r="M9" s="657">
        <f t="shared" si="3"/>
        <v>0</v>
      </c>
      <c r="N9" s="224">
        <f t="shared" si="0"/>
        <v>65</v>
      </c>
      <c r="O9" s="157"/>
      <c r="Y9" s="68"/>
    </row>
    <row r="10" spans="1:25" x14ac:dyDescent="0.2">
      <c r="A10" s="223" t="s">
        <v>178</v>
      </c>
      <c r="B10" s="658">
        <v>36350</v>
      </c>
      <c r="D10" s="98">
        <v>37000</v>
      </c>
      <c r="E10" s="98">
        <v>37000</v>
      </c>
      <c r="G10" s="657">
        <f t="shared" si="1"/>
        <v>0</v>
      </c>
      <c r="H10" s="97">
        <f t="shared" si="2"/>
        <v>650</v>
      </c>
      <c r="J10" s="658">
        <v>38000</v>
      </c>
      <c r="K10" s="658">
        <v>38000</v>
      </c>
      <c r="M10" s="657">
        <f t="shared" si="3"/>
        <v>0</v>
      </c>
      <c r="N10" s="224">
        <f t="shared" si="0"/>
        <v>1000</v>
      </c>
      <c r="O10" s="157"/>
      <c r="Y10" s="68"/>
    </row>
    <row r="11" spans="1:25" x14ac:dyDescent="0.2">
      <c r="A11" s="223" t="s">
        <v>278</v>
      </c>
      <c r="B11" s="658">
        <v>336</v>
      </c>
      <c r="D11" s="98">
        <v>316</v>
      </c>
      <c r="E11" s="98">
        <v>316</v>
      </c>
      <c r="G11" s="657">
        <f t="shared" si="1"/>
        <v>0</v>
      </c>
      <c r="H11" s="97">
        <f t="shared" si="2"/>
        <v>-20</v>
      </c>
      <c r="J11" s="658">
        <v>355</v>
      </c>
      <c r="K11" s="658">
        <v>355</v>
      </c>
      <c r="M11" s="657">
        <f t="shared" si="3"/>
        <v>0</v>
      </c>
      <c r="N11" s="224">
        <f t="shared" si="0"/>
        <v>39</v>
      </c>
      <c r="O11" s="157"/>
      <c r="Y11" s="68"/>
    </row>
    <row r="12" spans="1:25" x14ac:dyDescent="0.2">
      <c r="A12" s="223" t="s">
        <v>276</v>
      </c>
      <c r="B12" s="658">
        <v>380</v>
      </c>
      <c r="D12" s="98">
        <v>385</v>
      </c>
      <c r="E12" s="98">
        <v>385</v>
      </c>
      <c r="G12" s="657">
        <f t="shared" si="1"/>
        <v>0</v>
      </c>
      <c r="H12" s="97">
        <f t="shared" si="2"/>
        <v>5</v>
      </c>
      <c r="J12" s="658">
        <v>395</v>
      </c>
      <c r="K12" s="658">
        <v>395</v>
      </c>
      <c r="M12" s="657">
        <f t="shared" si="3"/>
        <v>0</v>
      </c>
      <c r="N12" s="224">
        <f t="shared" si="0"/>
        <v>10</v>
      </c>
      <c r="O12" s="157"/>
      <c r="Y12" s="68"/>
    </row>
    <row r="13" spans="1:25" x14ac:dyDescent="0.2">
      <c r="A13" s="223" t="s">
        <v>179</v>
      </c>
      <c r="B13" s="706">
        <v>6822</v>
      </c>
      <c r="D13" s="98">
        <v>7242</v>
      </c>
      <c r="E13" s="98">
        <v>7000</v>
      </c>
      <c r="G13" s="657">
        <f t="shared" si="1"/>
        <v>-242</v>
      </c>
      <c r="H13" s="97">
        <f t="shared" si="2"/>
        <v>178</v>
      </c>
      <c r="J13" s="658">
        <v>7500</v>
      </c>
      <c r="K13" s="658">
        <v>7500</v>
      </c>
      <c r="M13" s="657">
        <f t="shared" si="3"/>
        <v>0</v>
      </c>
      <c r="N13" s="224">
        <f t="shared" si="0"/>
        <v>500</v>
      </c>
      <c r="O13" s="157"/>
      <c r="Y13" s="68"/>
    </row>
    <row r="14" spans="1:25" x14ac:dyDescent="0.2">
      <c r="A14" s="223" t="s">
        <v>180</v>
      </c>
      <c r="B14" s="658">
        <v>11800</v>
      </c>
      <c r="D14" s="98">
        <v>11950</v>
      </c>
      <c r="E14" s="98">
        <v>11950</v>
      </c>
      <c r="G14" s="657">
        <f t="shared" si="1"/>
        <v>0</v>
      </c>
      <c r="H14" s="97">
        <f t="shared" si="2"/>
        <v>150</v>
      </c>
      <c r="J14" s="658">
        <v>12100</v>
      </c>
      <c r="K14" s="658">
        <v>12100</v>
      </c>
      <c r="M14" s="657">
        <f t="shared" si="3"/>
        <v>0</v>
      </c>
      <c r="N14" s="224">
        <f t="shared" si="0"/>
        <v>150</v>
      </c>
      <c r="O14" s="157"/>
      <c r="Y14" s="68"/>
    </row>
    <row r="15" spans="1:25" x14ac:dyDescent="0.2">
      <c r="A15" s="223" t="s">
        <v>181</v>
      </c>
      <c r="B15" s="658">
        <v>6963</v>
      </c>
      <c r="D15" s="98">
        <v>7174</v>
      </c>
      <c r="E15" s="98">
        <v>7174</v>
      </c>
      <c r="G15" s="657">
        <f t="shared" si="1"/>
        <v>0</v>
      </c>
      <c r="H15" s="97">
        <f t="shared" si="2"/>
        <v>211</v>
      </c>
      <c r="J15" s="658">
        <v>7377</v>
      </c>
      <c r="K15" s="658">
        <v>7377</v>
      </c>
      <c r="M15" s="657">
        <f t="shared" si="3"/>
        <v>0</v>
      </c>
      <c r="N15" s="224">
        <f t="shared" si="0"/>
        <v>203</v>
      </c>
      <c r="O15" s="157"/>
      <c r="Y15" s="68"/>
    </row>
    <row r="16" spans="1:25" x14ac:dyDescent="0.2">
      <c r="A16" s="223" t="s">
        <v>443</v>
      </c>
      <c r="B16" s="658">
        <v>70</v>
      </c>
      <c r="D16" s="98">
        <v>100</v>
      </c>
      <c r="E16" s="98">
        <v>100</v>
      </c>
      <c r="G16" s="657">
        <f t="shared" si="1"/>
        <v>0</v>
      </c>
      <c r="H16" s="97">
        <f t="shared" si="2"/>
        <v>30</v>
      </c>
      <c r="J16" s="658">
        <v>100</v>
      </c>
      <c r="K16" s="658">
        <v>100</v>
      </c>
      <c r="M16" s="657">
        <f t="shared" si="3"/>
        <v>0</v>
      </c>
      <c r="N16" s="224">
        <f t="shared" si="0"/>
        <v>0</v>
      </c>
      <c r="O16" s="157"/>
      <c r="Y16" s="68"/>
    </row>
    <row r="17" spans="1:25" x14ac:dyDescent="0.2">
      <c r="A17" s="223" t="s">
        <v>182</v>
      </c>
      <c r="B17" s="658">
        <v>145946</v>
      </c>
      <c r="D17" s="98">
        <v>144620</v>
      </c>
      <c r="E17" s="98">
        <v>144620</v>
      </c>
      <c r="G17" s="657">
        <f t="shared" si="1"/>
        <v>0</v>
      </c>
      <c r="H17" s="97">
        <f t="shared" si="2"/>
        <v>-1326</v>
      </c>
      <c r="J17" s="658">
        <v>146000</v>
      </c>
      <c r="K17" s="658">
        <v>146000</v>
      </c>
      <c r="M17" s="657">
        <f t="shared" si="3"/>
        <v>0</v>
      </c>
      <c r="N17" s="224">
        <f t="shared" si="0"/>
        <v>1380</v>
      </c>
      <c r="O17" s="157"/>
      <c r="Y17" s="68"/>
    </row>
    <row r="18" spans="1:25" x14ac:dyDescent="0.2">
      <c r="A18" s="223" t="s">
        <v>183</v>
      </c>
      <c r="B18" s="658">
        <v>1718</v>
      </c>
      <c r="D18" s="98">
        <v>1930</v>
      </c>
      <c r="E18" s="98">
        <v>1930</v>
      </c>
      <c r="G18" s="657">
        <f t="shared" si="1"/>
        <v>0</v>
      </c>
      <c r="H18" s="97">
        <f t="shared" si="2"/>
        <v>212</v>
      </c>
      <c r="J18" s="658">
        <v>1930</v>
      </c>
      <c r="K18" s="658">
        <v>1930</v>
      </c>
      <c r="M18" s="657">
        <f t="shared" si="3"/>
        <v>0</v>
      </c>
      <c r="N18" s="224">
        <f t="shared" si="0"/>
        <v>0</v>
      </c>
      <c r="O18" s="157"/>
      <c r="Y18" s="68"/>
    </row>
    <row r="19" spans="1:25" x14ac:dyDescent="0.2">
      <c r="A19" s="223" t="s">
        <v>334</v>
      </c>
      <c r="B19" s="658">
        <v>1066</v>
      </c>
      <c r="D19" s="98">
        <v>1071</v>
      </c>
      <c r="E19" s="98">
        <v>1071</v>
      </c>
      <c r="G19" s="656">
        <f t="shared" si="1"/>
        <v>0</v>
      </c>
      <c r="H19" s="97">
        <f t="shared" si="2"/>
        <v>5</v>
      </c>
      <c r="J19" s="658">
        <v>1071</v>
      </c>
      <c r="K19" s="658">
        <v>1071</v>
      </c>
      <c r="M19" s="657">
        <f t="shared" si="3"/>
        <v>0</v>
      </c>
      <c r="N19" s="224">
        <f t="shared" si="0"/>
        <v>0</v>
      </c>
      <c r="O19" s="157"/>
      <c r="Y19" s="68"/>
    </row>
    <row r="20" spans="1:25" x14ac:dyDescent="0.2">
      <c r="A20" s="223" t="s">
        <v>288</v>
      </c>
      <c r="B20" s="658">
        <v>68</v>
      </c>
      <c r="D20" s="98">
        <v>42</v>
      </c>
      <c r="E20" s="98">
        <v>42</v>
      </c>
      <c r="G20" s="657">
        <f t="shared" si="1"/>
        <v>0</v>
      </c>
      <c r="H20" s="97">
        <f t="shared" si="2"/>
        <v>-26</v>
      </c>
      <c r="J20" s="658">
        <v>42</v>
      </c>
      <c r="K20" s="658">
        <v>42</v>
      </c>
      <c r="M20" s="657">
        <f t="shared" si="3"/>
        <v>0</v>
      </c>
      <c r="N20" s="224">
        <f t="shared" si="0"/>
        <v>0</v>
      </c>
      <c r="O20" s="157"/>
      <c r="Y20" s="68"/>
    </row>
    <row r="21" spans="1:25" x14ac:dyDescent="0.2">
      <c r="A21" s="223" t="s">
        <v>184</v>
      </c>
      <c r="B21" s="658">
        <v>1295</v>
      </c>
      <c r="D21" s="98">
        <v>1308</v>
      </c>
      <c r="E21" s="98">
        <v>1308</v>
      </c>
      <c r="G21" s="657">
        <f t="shared" si="1"/>
        <v>0</v>
      </c>
      <c r="H21" s="97">
        <f t="shared" si="2"/>
        <v>13</v>
      </c>
      <c r="J21" s="658">
        <v>1300</v>
      </c>
      <c r="K21" s="658">
        <v>1300</v>
      </c>
      <c r="M21" s="657">
        <f t="shared" si="3"/>
        <v>0</v>
      </c>
      <c r="N21" s="224">
        <f t="shared" si="0"/>
        <v>-8</v>
      </c>
      <c r="O21" s="157"/>
      <c r="Y21" s="68"/>
    </row>
    <row r="22" spans="1:25" x14ac:dyDescent="0.2">
      <c r="A22" s="223" t="s">
        <v>185</v>
      </c>
      <c r="B22" s="658">
        <v>94</v>
      </c>
      <c r="D22" s="98">
        <v>130</v>
      </c>
      <c r="E22" s="98">
        <v>130</v>
      </c>
      <c r="G22" s="657">
        <f t="shared" si="1"/>
        <v>0</v>
      </c>
      <c r="H22" s="97">
        <f t="shared" si="2"/>
        <v>36</v>
      </c>
      <c r="J22" s="658">
        <v>153</v>
      </c>
      <c r="K22" s="658">
        <v>153</v>
      </c>
      <c r="M22" s="657">
        <f t="shared" si="3"/>
        <v>0</v>
      </c>
      <c r="N22" s="224">
        <f t="shared" si="0"/>
        <v>23</v>
      </c>
      <c r="O22" s="157"/>
      <c r="Y22" s="68"/>
    </row>
    <row r="23" spans="1:25" x14ac:dyDescent="0.2">
      <c r="A23" s="223" t="s">
        <v>186</v>
      </c>
      <c r="B23" s="658">
        <v>686</v>
      </c>
      <c r="D23" s="98">
        <v>680</v>
      </c>
      <c r="E23" s="98">
        <v>680</v>
      </c>
      <c r="G23" s="657">
        <f t="shared" si="1"/>
        <v>0</v>
      </c>
      <c r="H23" s="97">
        <f t="shared" si="2"/>
        <v>-6</v>
      </c>
      <c r="J23" s="658">
        <v>680</v>
      </c>
      <c r="K23" s="658">
        <v>680</v>
      </c>
      <c r="M23" s="657">
        <f t="shared" si="3"/>
        <v>0</v>
      </c>
      <c r="N23" s="224">
        <f t="shared" si="0"/>
        <v>0</v>
      </c>
      <c r="O23" s="157"/>
      <c r="Y23" s="68"/>
    </row>
    <row r="24" spans="1:25" x14ac:dyDescent="0.2">
      <c r="A24" s="223" t="s">
        <v>292</v>
      </c>
      <c r="B24" s="658">
        <v>984</v>
      </c>
      <c r="D24" s="98">
        <v>865</v>
      </c>
      <c r="E24" s="98">
        <v>865</v>
      </c>
      <c r="G24" s="657">
        <f t="shared" si="1"/>
        <v>0</v>
      </c>
      <c r="H24" s="97">
        <f t="shared" si="2"/>
        <v>-119</v>
      </c>
      <c r="J24" s="658">
        <v>900</v>
      </c>
      <c r="K24" s="658">
        <v>900</v>
      </c>
      <c r="M24" s="657">
        <f t="shared" si="3"/>
        <v>0</v>
      </c>
      <c r="N24" s="224">
        <f t="shared" si="0"/>
        <v>35</v>
      </c>
      <c r="O24" s="157"/>
      <c r="Y24" s="68"/>
    </row>
    <row r="25" spans="1:25" x14ac:dyDescent="0.2">
      <c r="A25" s="223" t="s">
        <v>187</v>
      </c>
      <c r="B25" s="658">
        <v>3600</v>
      </c>
      <c r="D25" s="98">
        <v>3780</v>
      </c>
      <c r="E25" s="98">
        <v>3780</v>
      </c>
      <c r="G25" s="657">
        <f t="shared" si="1"/>
        <v>0</v>
      </c>
      <c r="H25" s="97">
        <f t="shared" si="2"/>
        <v>180</v>
      </c>
      <c r="J25" s="658">
        <v>3600</v>
      </c>
      <c r="K25" s="658">
        <v>3600</v>
      </c>
      <c r="M25" s="657">
        <f t="shared" si="3"/>
        <v>0</v>
      </c>
      <c r="N25" s="224">
        <f t="shared" si="0"/>
        <v>-180</v>
      </c>
      <c r="O25" s="157"/>
      <c r="Y25" s="68"/>
    </row>
    <row r="26" spans="1:25" x14ac:dyDescent="0.2">
      <c r="A26" s="223" t="s">
        <v>266</v>
      </c>
      <c r="B26" s="658">
        <v>135</v>
      </c>
      <c r="D26" s="98">
        <v>140</v>
      </c>
      <c r="E26" s="98">
        <v>140</v>
      </c>
      <c r="G26" s="657">
        <f t="shared" si="1"/>
        <v>0</v>
      </c>
      <c r="H26" s="97">
        <f t="shared" si="2"/>
        <v>5</v>
      </c>
      <c r="J26" s="658">
        <v>140</v>
      </c>
      <c r="K26" s="658">
        <v>140</v>
      </c>
      <c r="M26" s="657">
        <f t="shared" si="3"/>
        <v>0</v>
      </c>
      <c r="N26" s="224">
        <f t="shared" si="0"/>
        <v>0</v>
      </c>
      <c r="O26" s="157"/>
      <c r="Y26" s="68"/>
    </row>
    <row r="27" spans="1:25" x14ac:dyDescent="0.2">
      <c r="A27" s="223" t="s">
        <v>188</v>
      </c>
      <c r="B27" s="658">
        <v>1287</v>
      </c>
      <c r="D27" s="98">
        <v>1380</v>
      </c>
      <c r="E27" s="98">
        <v>1380</v>
      </c>
      <c r="G27" s="657">
        <f t="shared" si="1"/>
        <v>0</v>
      </c>
      <c r="H27" s="97">
        <f t="shared" si="2"/>
        <v>93</v>
      </c>
      <c r="J27" s="658">
        <v>1716</v>
      </c>
      <c r="K27" s="658">
        <v>1716</v>
      </c>
      <c r="M27" s="657">
        <f t="shared" si="3"/>
        <v>0</v>
      </c>
      <c r="N27" s="224">
        <f t="shared" si="0"/>
        <v>336</v>
      </c>
      <c r="O27" s="157"/>
      <c r="Y27" s="68"/>
    </row>
    <row r="28" spans="1:25" x14ac:dyDescent="0.2">
      <c r="A28" s="223" t="s">
        <v>189</v>
      </c>
      <c r="B28" s="658">
        <v>885</v>
      </c>
      <c r="D28" s="98">
        <v>1009</v>
      </c>
      <c r="E28" s="98">
        <v>1009</v>
      </c>
      <c r="G28" s="657">
        <f t="shared" si="1"/>
        <v>0</v>
      </c>
      <c r="H28" s="97">
        <f t="shared" si="2"/>
        <v>124</v>
      </c>
      <c r="J28" s="658">
        <v>1035</v>
      </c>
      <c r="K28" s="658">
        <v>1035</v>
      </c>
      <c r="M28" s="657">
        <f t="shared" si="3"/>
        <v>0</v>
      </c>
      <c r="N28" s="224">
        <f t="shared" si="0"/>
        <v>26</v>
      </c>
      <c r="O28" s="157"/>
      <c r="Y28" s="68"/>
    </row>
    <row r="29" spans="1:25" x14ac:dyDescent="0.2">
      <c r="A29" s="223" t="s">
        <v>190</v>
      </c>
      <c r="B29" s="658">
        <v>1665</v>
      </c>
      <c r="D29" s="98">
        <v>1650</v>
      </c>
      <c r="E29" s="98">
        <v>1650</v>
      </c>
      <c r="G29" s="657">
        <f t="shared" si="1"/>
        <v>0</v>
      </c>
      <c r="H29" s="97">
        <f t="shared" si="2"/>
        <v>-15</v>
      </c>
      <c r="J29" s="658">
        <v>1650</v>
      </c>
      <c r="K29" s="658">
        <v>1650</v>
      </c>
      <c r="M29" s="657">
        <f t="shared" si="3"/>
        <v>0</v>
      </c>
      <c r="N29" s="224">
        <f t="shared" si="0"/>
        <v>0</v>
      </c>
      <c r="O29" s="157"/>
      <c r="Y29" s="68"/>
    </row>
    <row r="30" spans="1:25" x14ac:dyDescent="0.2">
      <c r="A30" s="223" t="s">
        <v>191</v>
      </c>
      <c r="B30" s="658">
        <v>611</v>
      </c>
      <c r="D30" s="98">
        <v>650</v>
      </c>
      <c r="E30" s="98">
        <v>650</v>
      </c>
      <c r="G30" s="657">
        <f t="shared" si="1"/>
        <v>0</v>
      </c>
      <c r="H30" s="97">
        <f t="shared" si="2"/>
        <v>39</v>
      </c>
      <c r="J30" s="658">
        <v>660</v>
      </c>
      <c r="K30" s="658">
        <v>680</v>
      </c>
      <c r="M30" s="657">
        <f t="shared" si="3"/>
        <v>20</v>
      </c>
      <c r="N30" s="224">
        <f t="shared" si="0"/>
        <v>30</v>
      </c>
      <c r="O30" s="157"/>
      <c r="Y30" s="68"/>
    </row>
    <row r="31" spans="1:25" x14ac:dyDescent="0.2">
      <c r="A31" s="223" t="s">
        <v>192</v>
      </c>
      <c r="B31" s="658">
        <v>135755</v>
      </c>
      <c r="D31" s="98">
        <v>134000</v>
      </c>
      <c r="E31" s="98">
        <v>137000</v>
      </c>
      <c r="G31" s="657">
        <f t="shared" si="1"/>
        <v>3000</v>
      </c>
      <c r="H31" s="97">
        <f t="shared" si="2"/>
        <v>1245</v>
      </c>
      <c r="J31" s="658">
        <v>138000</v>
      </c>
      <c r="K31" s="658">
        <v>138000</v>
      </c>
      <c r="M31" s="657">
        <f t="shared" si="3"/>
        <v>0</v>
      </c>
      <c r="N31" s="224">
        <f t="shared" si="0"/>
        <v>1000</v>
      </c>
      <c r="O31" s="157"/>
      <c r="Y31" s="68"/>
    </row>
    <row r="32" spans="1:25" x14ac:dyDescent="0.2">
      <c r="A32" s="223" t="s">
        <v>193</v>
      </c>
      <c r="B32" s="658">
        <v>33900</v>
      </c>
      <c r="D32" s="98">
        <v>33020</v>
      </c>
      <c r="E32" s="98">
        <v>33020</v>
      </c>
      <c r="G32" s="656">
        <f t="shared" si="1"/>
        <v>0</v>
      </c>
      <c r="H32" s="97">
        <f t="shared" si="2"/>
        <v>-880</v>
      </c>
      <c r="J32" s="658">
        <v>34000</v>
      </c>
      <c r="K32" s="658">
        <v>34000</v>
      </c>
      <c r="M32" s="657">
        <f t="shared" si="3"/>
        <v>0</v>
      </c>
      <c r="N32" s="224">
        <f t="shared" si="0"/>
        <v>980</v>
      </c>
      <c r="O32" s="157"/>
      <c r="Y32" s="68"/>
    </row>
    <row r="33" spans="1:25" x14ac:dyDescent="0.2">
      <c r="A33" s="223" t="s">
        <v>194</v>
      </c>
      <c r="B33" s="658">
        <v>2000</v>
      </c>
      <c r="D33" s="98">
        <v>1995</v>
      </c>
      <c r="E33" s="98">
        <v>1995</v>
      </c>
      <c r="G33" s="657">
        <f t="shared" si="1"/>
        <v>0</v>
      </c>
      <c r="H33" s="97">
        <f t="shared" si="2"/>
        <v>-5</v>
      </c>
      <c r="J33" s="658">
        <v>2000</v>
      </c>
      <c r="K33" s="658">
        <v>2000</v>
      </c>
      <c r="M33" s="657">
        <f t="shared" si="3"/>
        <v>0</v>
      </c>
      <c r="N33" s="224">
        <f t="shared" si="0"/>
        <v>5</v>
      </c>
      <c r="O33" s="157"/>
      <c r="Y33" s="68"/>
    </row>
    <row r="34" spans="1:25" x14ac:dyDescent="0.2">
      <c r="A34" s="223" t="s">
        <v>195</v>
      </c>
      <c r="B34" s="658">
        <v>7</v>
      </c>
      <c r="D34" s="98">
        <v>20</v>
      </c>
      <c r="E34" s="98">
        <v>20</v>
      </c>
      <c r="G34" s="657">
        <f t="shared" si="1"/>
        <v>0</v>
      </c>
      <c r="H34" s="97">
        <f t="shared" si="2"/>
        <v>13</v>
      </c>
      <c r="J34" s="658">
        <v>277</v>
      </c>
      <c r="K34" s="658">
        <v>277</v>
      </c>
      <c r="M34" s="657">
        <f t="shared" si="3"/>
        <v>0</v>
      </c>
      <c r="N34" s="224">
        <f t="shared" si="0"/>
        <v>257</v>
      </c>
      <c r="O34" s="157"/>
      <c r="Y34" s="68"/>
    </row>
    <row r="35" spans="1:25" x14ac:dyDescent="0.2">
      <c r="A35" s="223" t="s">
        <v>196</v>
      </c>
      <c r="B35" s="658">
        <v>7480</v>
      </c>
      <c r="D35" s="98">
        <v>7272</v>
      </c>
      <c r="E35" s="98">
        <v>7272</v>
      </c>
      <c r="G35" s="657">
        <f t="shared" si="1"/>
        <v>0</v>
      </c>
      <c r="H35" s="97">
        <f t="shared" si="2"/>
        <v>-208</v>
      </c>
      <c r="J35" s="658">
        <v>7200</v>
      </c>
      <c r="K35" s="658">
        <v>7200</v>
      </c>
      <c r="M35" s="657">
        <f t="shared" si="3"/>
        <v>0</v>
      </c>
      <c r="N35" s="224">
        <f t="shared" si="0"/>
        <v>-72</v>
      </c>
      <c r="O35" s="157"/>
      <c r="Y35" s="68"/>
    </row>
    <row r="36" spans="1:25" x14ac:dyDescent="0.2">
      <c r="A36" s="223" t="s">
        <v>232</v>
      </c>
      <c r="B36" s="658">
        <v>280</v>
      </c>
      <c r="D36" s="98">
        <v>315</v>
      </c>
      <c r="E36" s="98">
        <v>315</v>
      </c>
      <c r="G36" s="657">
        <f t="shared" si="1"/>
        <v>0</v>
      </c>
      <c r="H36" s="97">
        <f t="shared" si="2"/>
        <v>35</v>
      </c>
      <c r="J36" s="658">
        <v>300</v>
      </c>
      <c r="K36" s="658">
        <v>300</v>
      </c>
      <c r="M36" s="657">
        <f t="shared" si="3"/>
        <v>0</v>
      </c>
      <c r="N36" s="224">
        <f t="shared" si="0"/>
        <v>-15</v>
      </c>
      <c r="O36" s="157"/>
      <c r="Y36" s="68"/>
    </row>
    <row r="37" spans="1:25" x14ac:dyDescent="0.2">
      <c r="A37" s="223" t="s">
        <v>197</v>
      </c>
      <c r="B37" s="658">
        <v>1360</v>
      </c>
      <c r="D37" s="98">
        <v>1470</v>
      </c>
      <c r="E37" s="98">
        <v>1470</v>
      </c>
      <c r="G37" s="657">
        <f t="shared" si="1"/>
        <v>0</v>
      </c>
      <c r="H37" s="97">
        <f t="shared" si="2"/>
        <v>110</v>
      </c>
      <c r="J37" s="658">
        <v>1470</v>
      </c>
      <c r="K37" s="658">
        <v>1470</v>
      </c>
      <c r="M37" s="657">
        <f t="shared" si="3"/>
        <v>0</v>
      </c>
      <c r="N37" s="224">
        <f t="shared" si="0"/>
        <v>0</v>
      </c>
      <c r="O37" s="157"/>
      <c r="Y37" s="68"/>
    </row>
    <row r="38" spans="1:25" x14ac:dyDescent="0.2">
      <c r="A38" s="223" t="s">
        <v>198</v>
      </c>
      <c r="B38" s="658">
        <v>3764</v>
      </c>
      <c r="D38" s="98">
        <v>3702</v>
      </c>
      <c r="E38" s="98">
        <v>3702</v>
      </c>
      <c r="G38" s="657">
        <f t="shared" si="1"/>
        <v>0</v>
      </c>
      <c r="H38" s="97">
        <f t="shared" si="2"/>
        <v>-62</v>
      </c>
      <c r="J38" s="658">
        <v>3595</v>
      </c>
      <c r="K38" s="658">
        <v>3595</v>
      </c>
      <c r="M38" s="657">
        <f t="shared" si="3"/>
        <v>0</v>
      </c>
      <c r="N38" s="224">
        <f t="shared" si="0"/>
        <v>-107</v>
      </c>
      <c r="O38" s="157"/>
      <c r="Y38" s="68"/>
    </row>
    <row r="39" spans="1:25" x14ac:dyDescent="0.2">
      <c r="A39" s="223" t="s">
        <v>199</v>
      </c>
      <c r="B39" s="658">
        <v>1950</v>
      </c>
      <c r="D39" s="98">
        <v>1920</v>
      </c>
      <c r="E39" s="98">
        <v>1920</v>
      </c>
      <c r="G39" s="657">
        <f t="shared" si="1"/>
        <v>0</v>
      </c>
      <c r="H39" s="97">
        <f t="shared" si="2"/>
        <v>-30</v>
      </c>
      <c r="J39" s="658">
        <v>1970</v>
      </c>
      <c r="K39" s="658">
        <v>1970</v>
      </c>
      <c r="M39" s="657">
        <f t="shared" si="3"/>
        <v>0</v>
      </c>
      <c r="N39" s="224">
        <f t="shared" si="0"/>
        <v>50</v>
      </c>
      <c r="O39" s="157"/>
      <c r="Y39" s="68"/>
    </row>
    <row r="40" spans="1:25" x14ac:dyDescent="0.2">
      <c r="A40" s="223" t="s">
        <v>201</v>
      </c>
      <c r="B40" s="658">
        <v>2934</v>
      </c>
      <c r="D40" s="98">
        <v>2816</v>
      </c>
      <c r="E40" s="98">
        <v>2816</v>
      </c>
      <c r="G40" s="657">
        <f t="shared" si="1"/>
        <v>0</v>
      </c>
      <c r="H40" s="97">
        <f t="shared" si="2"/>
        <v>-118</v>
      </c>
      <c r="J40" s="658">
        <v>2816</v>
      </c>
      <c r="K40" s="658">
        <v>2816</v>
      </c>
      <c r="M40" s="657">
        <f t="shared" si="3"/>
        <v>0</v>
      </c>
      <c r="N40" s="224">
        <f t="shared" si="0"/>
        <v>0</v>
      </c>
      <c r="O40" s="157"/>
      <c r="Y40" s="68"/>
    </row>
    <row r="41" spans="1:25" x14ac:dyDescent="0.2">
      <c r="A41" s="223" t="s">
        <v>202</v>
      </c>
      <c r="B41" s="658">
        <v>1700</v>
      </c>
      <c r="D41" s="98">
        <v>1700</v>
      </c>
      <c r="E41" s="98">
        <v>1700</v>
      </c>
      <c r="G41" s="657">
        <f t="shared" si="1"/>
        <v>0</v>
      </c>
      <c r="H41" s="97">
        <f t="shared" si="2"/>
        <v>0</v>
      </c>
      <c r="J41" s="658">
        <v>1750</v>
      </c>
      <c r="K41" s="658">
        <v>1750</v>
      </c>
      <c r="M41" s="657">
        <f t="shared" si="3"/>
        <v>0</v>
      </c>
      <c r="N41" s="224">
        <f t="shared" si="0"/>
        <v>50</v>
      </c>
      <c r="O41" s="157"/>
      <c r="Y41" s="68"/>
    </row>
    <row r="42" spans="1:25" x14ac:dyDescent="0.2">
      <c r="A42" s="223" t="s">
        <v>203</v>
      </c>
      <c r="B42" s="658">
        <v>1862</v>
      </c>
      <c r="D42" s="98">
        <v>1966</v>
      </c>
      <c r="E42" s="98">
        <v>1966</v>
      </c>
      <c r="G42" s="657">
        <f t="shared" si="1"/>
        <v>0</v>
      </c>
      <c r="H42" s="97">
        <f t="shared" si="2"/>
        <v>104</v>
      </c>
      <c r="J42" s="658">
        <v>2020</v>
      </c>
      <c r="K42" s="658">
        <v>2020</v>
      </c>
      <c r="M42" s="657">
        <f t="shared" si="3"/>
        <v>0</v>
      </c>
      <c r="N42" s="224">
        <f t="shared" ref="N42:N70" si="4">K42-E42</f>
        <v>54</v>
      </c>
      <c r="O42" s="157"/>
      <c r="Y42" s="68"/>
    </row>
    <row r="43" spans="1:25" x14ac:dyDescent="0.2">
      <c r="A43" s="223" t="s">
        <v>470</v>
      </c>
      <c r="B43" s="658">
        <v>242</v>
      </c>
      <c r="D43" s="98">
        <v>275</v>
      </c>
      <c r="E43" s="98">
        <v>275</v>
      </c>
      <c r="G43" s="657">
        <f t="shared" si="1"/>
        <v>0</v>
      </c>
      <c r="H43" s="97">
        <f t="shared" si="2"/>
        <v>33</v>
      </c>
      <c r="J43" s="658">
        <v>276</v>
      </c>
      <c r="K43" s="658">
        <v>276</v>
      </c>
      <c r="M43" s="657">
        <f t="shared" si="3"/>
        <v>0</v>
      </c>
      <c r="N43" s="224">
        <f t="shared" si="4"/>
        <v>1</v>
      </c>
      <c r="O43" s="157"/>
      <c r="Y43" s="68"/>
    </row>
    <row r="44" spans="1:25" x14ac:dyDescent="0.2">
      <c r="A44" s="223" t="s">
        <v>204</v>
      </c>
      <c r="B44" s="658">
        <v>143</v>
      </c>
      <c r="D44" s="98">
        <v>150</v>
      </c>
      <c r="E44" s="98">
        <v>150</v>
      </c>
      <c r="G44" s="657">
        <f t="shared" si="1"/>
        <v>0</v>
      </c>
      <c r="H44" s="97">
        <f t="shared" si="2"/>
        <v>7</v>
      </c>
      <c r="J44" s="658">
        <v>160</v>
      </c>
      <c r="K44" s="658">
        <v>160</v>
      </c>
      <c r="M44" s="657">
        <f t="shared" si="3"/>
        <v>0</v>
      </c>
      <c r="N44" s="224">
        <f t="shared" si="4"/>
        <v>10</v>
      </c>
      <c r="O44" s="157"/>
      <c r="Y44" s="68"/>
    </row>
    <row r="45" spans="1:25" x14ac:dyDescent="0.2">
      <c r="A45" s="223" t="s">
        <v>205</v>
      </c>
      <c r="B45" s="658">
        <v>124</v>
      </c>
      <c r="D45" s="98">
        <v>124</v>
      </c>
      <c r="E45" s="98">
        <v>124</v>
      </c>
      <c r="G45" s="657">
        <f t="shared" si="1"/>
        <v>0</v>
      </c>
      <c r="H45" s="97">
        <f t="shared" si="2"/>
        <v>0</v>
      </c>
      <c r="J45" s="658">
        <v>85</v>
      </c>
      <c r="K45" s="658">
        <v>85</v>
      </c>
      <c r="M45" s="657">
        <f t="shared" si="3"/>
        <v>0</v>
      </c>
      <c r="N45" s="224">
        <f t="shared" si="4"/>
        <v>-39</v>
      </c>
      <c r="O45" s="157"/>
      <c r="Y45" s="68"/>
    </row>
    <row r="46" spans="1:25" x14ac:dyDescent="0.2">
      <c r="A46" s="223" t="s">
        <v>206</v>
      </c>
      <c r="B46" s="658">
        <v>3654</v>
      </c>
      <c r="D46" s="98">
        <v>3530</v>
      </c>
      <c r="E46" s="98">
        <v>3530</v>
      </c>
      <c r="G46" s="657">
        <f t="shared" si="1"/>
        <v>0</v>
      </c>
      <c r="H46" s="97">
        <f t="shared" si="2"/>
        <v>-124</v>
      </c>
      <c r="J46" s="658">
        <v>3600</v>
      </c>
      <c r="K46" s="658">
        <v>3600</v>
      </c>
      <c r="M46" s="657">
        <f t="shared" si="3"/>
        <v>0</v>
      </c>
      <c r="N46" s="224">
        <f t="shared" si="4"/>
        <v>70</v>
      </c>
      <c r="O46" s="157"/>
      <c r="Y46" s="68"/>
    </row>
    <row r="47" spans="1:25" x14ac:dyDescent="0.2">
      <c r="A47" s="223" t="s">
        <v>272</v>
      </c>
      <c r="B47" s="658">
        <v>274</v>
      </c>
      <c r="D47" s="98">
        <v>274</v>
      </c>
      <c r="E47" s="98">
        <v>274</v>
      </c>
      <c r="G47" s="657">
        <f t="shared" si="1"/>
        <v>0</v>
      </c>
      <c r="H47" s="97">
        <f t="shared" si="2"/>
        <v>0</v>
      </c>
      <c r="J47" s="658">
        <v>285</v>
      </c>
      <c r="K47" s="658">
        <v>285</v>
      </c>
      <c r="M47" s="657">
        <f t="shared" si="3"/>
        <v>0</v>
      </c>
      <c r="N47" s="224">
        <f t="shared" si="4"/>
        <v>11</v>
      </c>
      <c r="O47" s="157"/>
      <c r="Y47" s="68"/>
    </row>
    <row r="48" spans="1:25" x14ac:dyDescent="0.2">
      <c r="A48" s="223" t="s">
        <v>207</v>
      </c>
      <c r="B48" s="658">
        <v>5355</v>
      </c>
      <c r="D48" s="98">
        <v>5355</v>
      </c>
      <c r="E48" s="98">
        <v>5355</v>
      </c>
      <c r="G48" s="657">
        <f t="shared" si="1"/>
        <v>0</v>
      </c>
      <c r="H48" s="97">
        <f t="shared" si="2"/>
        <v>0</v>
      </c>
      <c r="J48" s="658">
        <v>5481</v>
      </c>
      <c r="K48" s="658">
        <v>5481</v>
      </c>
      <c r="M48" s="657">
        <f t="shared" si="3"/>
        <v>0</v>
      </c>
      <c r="N48" s="224">
        <f t="shared" si="4"/>
        <v>126</v>
      </c>
      <c r="O48" s="157"/>
      <c r="Y48" s="68"/>
    </row>
    <row r="49" spans="1:25" x14ac:dyDescent="0.2">
      <c r="A49" s="223" t="s">
        <v>208</v>
      </c>
      <c r="B49" s="658">
        <v>7300</v>
      </c>
      <c r="D49" s="98">
        <v>9000</v>
      </c>
      <c r="E49" s="98">
        <v>9000</v>
      </c>
      <c r="G49" s="657">
        <f t="shared" si="1"/>
        <v>0</v>
      </c>
      <c r="H49" s="97">
        <f t="shared" si="2"/>
        <v>1700</v>
      </c>
      <c r="J49" s="658">
        <v>9500</v>
      </c>
      <c r="K49" s="658">
        <v>9500</v>
      </c>
      <c r="M49" s="657">
        <f t="shared" si="3"/>
        <v>0</v>
      </c>
      <c r="N49" s="224">
        <f t="shared" si="4"/>
        <v>500</v>
      </c>
      <c r="O49" s="157"/>
      <c r="Y49" s="68"/>
    </row>
    <row r="50" spans="1:25" x14ac:dyDescent="0.2">
      <c r="A50" s="223" t="s">
        <v>273</v>
      </c>
      <c r="B50" s="658">
        <v>257</v>
      </c>
      <c r="D50" s="98">
        <v>241</v>
      </c>
      <c r="E50" s="98">
        <v>241</v>
      </c>
      <c r="G50" s="657">
        <f t="shared" si="1"/>
        <v>0</v>
      </c>
      <c r="H50" s="97">
        <f t="shared" si="2"/>
        <v>-16</v>
      </c>
      <c r="J50" s="658">
        <v>245</v>
      </c>
      <c r="K50" s="658">
        <v>245</v>
      </c>
      <c r="M50" s="657">
        <f t="shared" si="3"/>
        <v>0</v>
      </c>
      <c r="N50" s="224">
        <f t="shared" si="4"/>
        <v>4</v>
      </c>
      <c r="O50" s="157"/>
      <c r="Y50" s="68"/>
    </row>
    <row r="51" spans="1:25" x14ac:dyDescent="0.2">
      <c r="A51" s="223" t="s">
        <v>209</v>
      </c>
      <c r="B51" s="658">
        <v>850</v>
      </c>
      <c r="D51" s="98">
        <v>860</v>
      </c>
      <c r="E51" s="98">
        <v>860</v>
      </c>
      <c r="G51" s="657">
        <f t="shared" si="1"/>
        <v>0</v>
      </c>
      <c r="H51" s="97">
        <f t="shared" si="2"/>
        <v>10</v>
      </c>
      <c r="J51" s="658">
        <v>900</v>
      </c>
      <c r="K51" s="658">
        <v>900</v>
      </c>
      <c r="M51" s="657">
        <f t="shared" si="3"/>
        <v>0</v>
      </c>
      <c r="N51" s="224">
        <f t="shared" si="4"/>
        <v>40</v>
      </c>
      <c r="O51" s="157"/>
      <c r="Y51" s="68"/>
    </row>
    <row r="52" spans="1:25" x14ac:dyDescent="0.2">
      <c r="A52" s="223" t="s">
        <v>210</v>
      </c>
      <c r="B52" s="658">
        <v>2400</v>
      </c>
      <c r="D52" s="98">
        <v>2500</v>
      </c>
      <c r="E52" s="98">
        <v>2500</v>
      </c>
      <c r="G52" s="657">
        <f t="shared" si="1"/>
        <v>0</v>
      </c>
      <c r="H52" s="97">
        <f t="shared" si="2"/>
        <v>100</v>
      </c>
      <c r="J52" s="658">
        <v>2550</v>
      </c>
      <c r="K52" s="658">
        <v>2550</v>
      </c>
      <c r="M52" s="657">
        <f t="shared" si="3"/>
        <v>0</v>
      </c>
      <c r="N52" s="224">
        <f t="shared" si="4"/>
        <v>50</v>
      </c>
      <c r="O52" s="157"/>
      <c r="Y52" s="68"/>
    </row>
    <row r="53" spans="1:25" x14ac:dyDescent="0.2">
      <c r="A53" s="223" t="s">
        <v>211</v>
      </c>
      <c r="B53" s="658">
        <v>12625</v>
      </c>
      <c r="D53" s="98">
        <v>12500</v>
      </c>
      <c r="E53" s="98">
        <v>12500</v>
      </c>
      <c r="G53" s="657">
        <f t="shared" si="1"/>
        <v>0</v>
      </c>
      <c r="H53" s="97">
        <f t="shared" si="2"/>
        <v>-125</v>
      </c>
      <c r="J53" s="658">
        <v>12700</v>
      </c>
      <c r="K53" s="658">
        <v>12700</v>
      </c>
      <c r="M53" s="657">
        <f t="shared" si="3"/>
        <v>0</v>
      </c>
      <c r="N53" s="224">
        <f t="shared" si="4"/>
        <v>200</v>
      </c>
      <c r="O53" s="157"/>
      <c r="Y53" s="68"/>
    </row>
    <row r="54" spans="1:25" x14ac:dyDescent="0.2">
      <c r="A54" s="223" t="s">
        <v>212</v>
      </c>
      <c r="B54" s="658">
        <v>596</v>
      </c>
      <c r="D54" s="98">
        <v>690</v>
      </c>
      <c r="E54" s="98">
        <v>690</v>
      </c>
      <c r="G54" s="657">
        <f t="shared" si="1"/>
        <v>0</v>
      </c>
      <c r="H54" s="97">
        <f t="shared" si="2"/>
        <v>94</v>
      </c>
      <c r="J54" s="658">
        <v>715</v>
      </c>
      <c r="K54" s="658">
        <v>715</v>
      </c>
      <c r="M54" s="657">
        <f t="shared" si="3"/>
        <v>0</v>
      </c>
      <c r="N54" s="224">
        <f t="shared" si="4"/>
        <v>25</v>
      </c>
      <c r="O54" s="157"/>
      <c r="Y54" s="68"/>
    </row>
    <row r="55" spans="1:25" x14ac:dyDescent="0.2">
      <c r="A55" s="223" t="s">
        <v>231</v>
      </c>
      <c r="B55" s="658">
        <v>959</v>
      </c>
      <c r="D55" s="98">
        <v>1034</v>
      </c>
      <c r="E55" s="98">
        <v>1034</v>
      </c>
      <c r="G55" s="657">
        <f t="shared" si="1"/>
        <v>0</v>
      </c>
      <c r="H55" s="97">
        <f t="shared" si="2"/>
        <v>75</v>
      </c>
      <c r="J55" s="658">
        <v>1020</v>
      </c>
      <c r="K55" s="658">
        <v>1020</v>
      </c>
      <c r="M55" s="657">
        <f t="shared" si="3"/>
        <v>0</v>
      </c>
      <c r="N55" s="224">
        <f t="shared" si="4"/>
        <v>-14</v>
      </c>
      <c r="O55" s="157"/>
      <c r="Y55" s="68"/>
    </row>
    <row r="56" spans="1:25" x14ac:dyDescent="0.2">
      <c r="A56" s="223" t="s">
        <v>213</v>
      </c>
      <c r="B56" s="658">
        <v>880</v>
      </c>
      <c r="D56" s="98">
        <v>881</v>
      </c>
      <c r="E56" s="98">
        <v>881</v>
      </c>
      <c r="G56" s="657">
        <f t="shared" si="1"/>
        <v>0</v>
      </c>
      <c r="H56" s="97">
        <f t="shared" si="2"/>
        <v>1</v>
      </c>
      <c r="J56" s="658">
        <v>975</v>
      </c>
      <c r="K56" s="658">
        <v>975</v>
      </c>
      <c r="M56" s="657">
        <f t="shared" si="3"/>
        <v>0</v>
      </c>
      <c r="N56" s="224">
        <f t="shared" si="4"/>
        <v>94</v>
      </c>
      <c r="O56" s="157"/>
      <c r="Y56" s="68"/>
    </row>
    <row r="57" spans="1:25" x14ac:dyDescent="0.2">
      <c r="A57" s="223" t="s">
        <v>214</v>
      </c>
      <c r="B57" s="658">
        <v>2836</v>
      </c>
      <c r="D57" s="98">
        <v>3332</v>
      </c>
      <c r="E57" s="98">
        <v>3332</v>
      </c>
      <c r="G57" s="657">
        <f t="shared" si="1"/>
        <v>0</v>
      </c>
      <c r="H57" s="97">
        <f t="shared" si="2"/>
        <v>496</v>
      </c>
      <c r="J57" s="658">
        <v>3500</v>
      </c>
      <c r="K57" s="658">
        <v>3500</v>
      </c>
      <c r="M57" s="657">
        <f t="shared" si="3"/>
        <v>0</v>
      </c>
      <c r="N57" s="224">
        <f t="shared" si="4"/>
        <v>168</v>
      </c>
      <c r="O57" s="157"/>
      <c r="Y57" s="68"/>
    </row>
    <row r="58" spans="1:25" x14ac:dyDescent="0.2">
      <c r="A58" s="223" t="s">
        <v>289</v>
      </c>
      <c r="B58" s="658">
        <v>170</v>
      </c>
      <c r="D58" s="98">
        <v>168</v>
      </c>
      <c r="E58" s="98">
        <v>168</v>
      </c>
      <c r="G58" s="657">
        <f t="shared" si="1"/>
        <v>0</v>
      </c>
      <c r="H58" s="97">
        <f t="shared" si="2"/>
        <v>-2</v>
      </c>
      <c r="J58" s="658">
        <v>170</v>
      </c>
      <c r="K58" s="658">
        <v>170</v>
      </c>
      <c r="M58" s="657">
        <f t="shared" si="3"/>
        <v>0</v>
      </c>
      <c r="N58" s="224">
        <f t="shared" si="4"/>
        <v>2</v>
      </c>
      <c r="O58" s="157"/>
      <c r="Y58" s="68"/>
    </row>
    <row r="59" spans="1:25" x14ac:dyDescent="0.2">
      <c r="A59" s="223" t="s">
        <v>215</v>
      </c>
      <c r="B59" s="658">
        <v>1103</v>
      </c>
      <c r="D59" s="98">
        <v>1023</v>
      </c>
      <c r="E59" s="98">
        <v>1023</v>
      </c>
      <c r="G59" s="657">
        <f t="shared" si="1"/>
        <v>0</v>
      </c>
      <c r="H59" s="97">
        <f t="shared" si="2"/>
        <v>-80</v>
      </c>
      <c r="J59" s="658">
        <v>1100</v>
      </c>
      <c r="K59" s="658">
        <v>1100</v>
      </c>
      <c r="M59" s="657">
        <f t="shared" si="3"/>
        <v>0</v>
      </c>
      <c r="N59" s="224">
        <f t="shared" si="4"/>
        <v>77</v>
      </c>
      <c r="O59" s="157"/>
      <c r="Y59" s="68"/>
    </row>
    <row r="60" spans="1:25" x14ac:dyDescent="0.2">
      <c r="A60" s="223" t="s">
        <v>216</v>
      </c>
      <c r="B60" s="658">
        <v>2200</v>
      </c>
      <c r="D60" s="98">
        <v>2450</v>
      </c>
      <c r="E60" s="98">
        <v>2450</v>
      </c>
      <c r="G60" s="657">
        <f t="shared" si="1"/>
        <v>0</v>
      </c>
      <c r="H60" s="97">
        <f t="shared" si="2"/>
        <v>250</v>
      </c>
      <c r="J60" s="658">
        <v>2515</v>
      </c>
      <c r="K60" s="658">
        <v>2515</v>
      </c>
      <c r="M60" s="657">
        <f t="shared" si="3"/>
        <v>0</v>
      </c>
      <c r="N60" s="224">
        <f t="shared" si="4"/>
        <v>65</v>
      </c>
      <c r="O60" s="157"/>
      <c r="Y60" s="68"/>
    </row>
    <row r="61" spans="1:25" x14ac:dyDescent="0.2">
      <c r="A61" s="223" t="s">
        <v>217</v>
      </c>
      <c r="B61" s="658">
        <v>20909</v>
      </c>
      <c r="D61" s="98">
        <v>20000</v>
      </c>
      <c r="E61" s="98">
        <v>20000</v>
      </c>
      <c r="G61" s="657">
        <f t="shared" si="1"/>
        <v>0</v>
      </c>
      <c r="H61" s="97">
        <f t="shared" si="2"/>
        <v>-909</v>
      </c>
      <c r="J61" s="658">
        <v>20100</v>
      </c>
      <c r="K61" s="658">
        <v>20100</v>
      </c>
      <c r="M61" s="657">
        <f t="shared" si="3"/>
        <v>0</v>
      </c>
      <c r="N61" s="224">
        <f t="shared" si="4"/>
        <v>100</v>
      </c>
      <c r="O61" s="157"/>
      <c r="Y61" s="68"/>
    </row>
    <row r="62" spans="1:25" x14ac:dyDescent="0.2">
      <c r="A62" s="223" t="s">
        <v>218</v>
      </c>
      <c r="B62" s="658">
        <v>600</v>
      </c>
      <c r="D62" s="98">
        <v>545</v>
      </c>
      <c r="E62" s="98">
        <v>545</v>
      </c>
      <c r="G62" s="657">
        <f t="shared" si="1"/>
        <v>0</v>
      </c>
      <c r="H62" s="97">
        <f t="shared" si="2"/>
        <v>-55</v>
      </c>
      <c r="J62" s="658">
        <v>583</v>
      </c>
      <c r="K62" s="658">
        <v>583</v>
      </c>
      <c r="M62" s="657">
        <f t="shared" si="3"/>
        <v>0</v>
      </c>
      <c r="N62" s="224">
        <f t="shared" si="4"/>
        <v>38</v>
      </c>
      <c r="O62" s="157"/>
      <c r="Y62" s="68"/>
    </row>
    <row r="63" spans="1:25" x14ac:dyDescent="0.2">
      <c r="A63" s="223" t="s">
        <v>219</v>
      </c>
      <c r="B63" s="658">
        <v>165</v>
      </c>
      <c r="D63" s="98">
        <v>169</v>
      </c>
      <c r="E63" s="98">
        <v>169</v>
      </c>
      <c r="G63" s="657">
        <f t="shared" si="1"/>
        <v>0</v>
      </c>
      <c r="H63" s="97">
        <f t="shared" si="2"/>
        <v>4</v>
      </c>
      <c r="J63" s="658">
        <v>169</v>
      </c>
      <c r="K63" s="658">
        <v>169</v>
      </c>
      <c r="M63" s="657">
        <f t="shared" si="3"/>
        <v>0</v>
      </c>
      <c r="N63" s="224">
        <f t="shared" si="4"/>
        <v>0</v>
      </c>
      <c r="O63" s="157"/>
      <c r="Y63" s="68"/>
    </row>
    <row r="64" spans="1:25" x14ac:dyDescent="0.2">
      <c r="A64" s="223" t="s">
        <v>220</v>
      </c>
      <c r="B64" s="658">
        <v>5082</v>
      </c>
      <c r="D64" s="142">
        <v>6931</v>
      </c>
      <c r="E64" s="142">
        <v>6931</v>
      </c>
      <c r="G64" s="659">
        <f t="shared" si="1"/>
        <v>0</v>
      </c>
      <c r="H64" s="97">
        <f t="shared" si="2"/>
        <v>1849</v>
      </c>
      <c r="J64" s="706">
        <v>6992</v>
      </c>
      <c r="K64" s="706">
        <v>6992</v>
      </c>
      <c r="M64" s="657">
        <f t="shared" si="3"/>
        <v>0</v>
      </c>
      <c r="N64" s="224">
        <f t="shared" si="4"/>
        <v>61</v>
      </c>
      <c r="O64" s="157"/>
      <c r="Y64" s="68"/>
    </row>
    <row r="65" spans="1:25" x14ac:dyDescent="0.2">
      <c r="A65" s="223" t="s">
        <v>221</v>
      </c>
      <c r="B65" s="658">
        <v>965</v>
      </c>
      <c r="D65" s="658">
        <v>1000</v>
      </c>
      <c r="E65" s="658">
        <v>900</v>
      </c>
      <c r="G65" s="657">
        <f t="shared" si="1"/>
        <v>-100</v>
      </c>
      <c r="H65" s="97">
        <f t="shared" si="2"/>
        <v>-65</v>
      </c>
      <c r="J65" s="658">
        <v>1050</v>
      </c>
      <c r="K65" s="658">
        <v>1050</v>
      </c>
      <c r="M65" s="657">
        <f t="shared" si="3"/>
        <v>0</v>
      </c>
      <c r="N65" s="224">
        <f t="shared" si="4"/>
        <v>150</v>
      </c>
      <c r="O65" s="157"/>
      <c r="Y65" s="68"/>
    </row>
    <row r="66" spans="1:25" x14ac:dyDescent="0.2">
      <c r="A66" s="223" t="s">
        <v>290</v>
      </c>
      <c r="B66" s="658">
        <v>234</v>
      </c>
      <c r="D66" s="98">
        <v>230</v>
      </c>
      <c r="E66" s="98">
        <v>230</v>
      </c>
      <c r="G66" s="657">
        <f t="shared" si="1"/>
        <v>0</v>
      </c>
      <c r="H66" s="97">
        <f t="shared" si="2"/>
        <v>-4</v>
      </c>
      <c r="J66" s="658">
        <v>230</v>
      </c>
      <c r="K66" s="658">
        <v>230</v>
      </c>
      <c r="M66" s="657">
        <f t="shared" si="3"/>
        <v>0</v>
      </c>
      <c r="N66" s="224">
        <f t="shared" si="4"/>
        <v>0</v>
      </c>
      <c r="O66" s="157"/>
      <c r="Y66" s="68"/>
    </row>
    <row r="67" spans="1:25" x14ac:dyDescent="0.2">
      <c r="A67" s="223" t="s">
        <v>222</v>
      </c>
      <c r="B67" s="658">
        <v>257</v>
      </c>
      <c r="D67" s="98">
        <v>292</v>
      </c>
      <c r="E67" s="98">
        <v>292</v>
      </c>
      <c r="G67" s="657">
        <f t="shared" si="1"/>
        <v>0</v>
      </c>
      <c r="H67" s="97">
        <f t="shared" si="2"/>
        <v>35</v>
      </c>
      <c r="J67" s="658">
        <v>300</v>
      </c>
      <c r="K67" s="658">
        <v>300</v>
      </c>
      <c r="M67" s="657">
        <f t="shared" si="3"/>
        <v>0</v>
      </c>
      <c r="N67" s="224">
        <f t="shared" si="4"/>
        <v>8</v>
      </c>
      <c r="O67" s="157"/>
      <c r="Y67" s="68"/>
    </row>
    <row r="68" spans="1:25" x14ac:dyDescent="0.2">
      <c r="A68" s="223" t="s">
        <v>223</v>
      </c>
      <c r="B68" s="658">
        <v>26940</v>
      </c>
      <c r="D68" s="98">
        <v>27000</v>
      </c>
      <c r="E68" s="98">
        <v>27000</v>
      </c>
      <c r="G68" s="657">
        <f t="shared" si="1"/>
        <v>0</v>
      </c>
      <c r="H68" s="97">
        <f t="shared" si="2"/>
        <v>60</v>
      </c>
      <c r="J68" s="658">
        <v>27000</v>
      </c>
      <c r="K68" s="658">
        <v>27000</v>
      </c>
      <c r="M68" s="657">
        <f t="shared" si="3"/>
        <v>0</v>
      </c>
      <c r="N68" s="224">
        <f t="shared" si="4"/>
        <v>0</v>
      </c>
      <c r="O68" s="157"/>
      <c r="Y68" s="68"/>
    </row>
    <row r="69" spans="1:25" x14ac:dyDescent="0.2">
      <c r="A69" s="223" t="s">
        <v>224</v>
      </c>
      <c r="B69" s="707">
        <f>SUM(B7:B68)</f>
        <v>514261</v>
      </c>
      <c r="C69" s="135"/>
      <c r="D69" s="135">
        <v>515702</v>
      </c>
      <c r="E69" s="135">
        <f>SUM(E7:E68)</f>
        <v>518360</v>
      </c>
      <c r="G69" s="657">
        <f t="shared" si="1"/>
        <v>2658</v>
      </c>
      <c r="H69" s="97">
        <f t="shared" si="2"/>
        <v>4099</v>
      </c>
      <c r="J69" s="707">
        <f>SUM(J7:J68)</f>
        <v>525938</v>
      </c>
      <c r="K69" s="707">
        <f>SUM(K7:K68)</f>
        <v>525958</v>
      </c>
      <c r="M69" s="657">
        <f t="shared" si="3"/>
        <v>20</v>
      </c>
      <c r="N69" s="224">
        <f t="shared" si="4"/>
        <v>7598</v>
      </c>
      <c r="O69" s="157"/>
      <c r="Y69" s="68"/>
    </row>
    <row r="70" spans="1:25" x14ac:dyDescent="0.2">
      <c r="A70" s="223" t="s">
        <v>225</v>
      </c>
      <c r="B70" s="708">
        <f>B72-B69</f>
        <v>1555</v>
      </c>
      <c r="C70" s="139"/>
      <c r="D70" s="139">
        <v>1640</v>
      </c>
      <c r="E70" s="139">
        <f>E72-E69</f>
        <v>1640</v>
      </c>
      <c r="F70" s="225"/>
      <c r="G70" s="657">
        <f t="shared" si="1"/>
        <v>0</v>
      </c>
      <c r="H70" s="97">
        <f t="shared" si="2"/>
        <v>85</v>
      </c>
      <c r="I70" s="225"/>
      <c r="J70" s="708">
        <f>J72-J69</f>
        <v>1668</v>
      </c>
      <c r="K70" s="708">
        <f>K72-K69</f>
        <v>1668</v>
      </c>
      <c r="L70" s="225"/>
      <c r="M70" s="657">
        <f t="shared" si="3"/>
        <v>0</v>
      </c>
      <c r="N70" s="226">
        <f t="shared" si="4"/>
        <v>28</v>
      </c>
      <c r="Y70" s="68"/>
    </row>
    <row r="71" spans="1:25" ht="12" customHeight="1" x14ac:dyDescent="0.2">
      <c r="A71" s="223"/>
      <c r="G71" s="657"/>
      <c r="J71" s="656"/>
      <c r="M71" s="657"/>
      <c r="N71" s="224"/>
      <c r="Y71" s="68"/>
    </row>
    <row r="72" spans="1:25" x14ac:dyDescent="0.2">
      <c r="A72" s="223" t="s">
        <v>226</v>
      </c>
      <c r="B72" s="660">
        <v>515816</v>
      </c>
      <c r="D72" s="101">
        <v>517342</v>
      </c>
      <c r="E72" s="101">
        <f>520000</f>
        <v>520000</v>
      </c>
      <c r="G72" s="659">
        <f>E72-D72</f>
        <v>2658</v>
      </c>
      <c r="H72" s="97">
        <f t="shared" si="2"/>
        <v>4184</v>
      </c>
      <c r="J72" s="660">
        <v>527606</v>
      </c>
      <c r="K72" s="660">
        <v>527626</v>
      </c>
      <c r="M72" s="657">
        <f t="shared" ref="M72" si="5">K72-J72</f>
        <v>20</v>
      </c>
      <c r="N72" s="224">
        <f>K72-E72</f>
        <v>7626</v>
      </c>
      <c r="O72" s="100"/>
      <c r="Y72" s="68"/>
    </row>
    <row r="73" spans="1:25" ht="12.75" thickBot="1" x14ac:dyDescent="0.25">
      <c r="A73" s="227"/>
      <c r="B73" s="662"/>
      <c r="C73" s="228"/>
      <c r="D73" s="228"/>
      <c r="E73" s="228"/>
      <c r="F73" s="228"/>
      <c r="G73" s="662"/>
      <c r="H73" s="228"/>
      <c r="I73" s="228"/>
      <c r="J73" s="228"/>
      <c r="K73" s="662"/>
      <c r="L73" s="228"/>
      <c r="M73" s="228"/>
      <c r="N73" s="229"/>
      <c r="Y73" s="68"/>
    </row>
    <row r="74" spans="1:25" x14ac:dyDescent="0.2">
      <c r="A74" s="116" t="s">
        <v>493</v>
      </c>
      <c r="Y74" s="68"/>
    </row>
    <row r="75" spans="1:25" x14ac:dyDescent="0.2">
      <c r="A75" s="116" t="s">
        <v>337</v>
      </c>
      <c r="Y75" s="68"/>
    </row>
    <row r="76" spans="1:25" x14ac:dyDescent="0.2">
      <c r="A76" s="6" t="s">
        <v>483</v>
      </c>
      <c r="Y76" s="68"/>
    </row>
    <row r="77" spans="1:25" x14ac:dyDescent="0.2">
      <c r="Y77" s="68"/>
    </row>
    <row r="78" spans="1:25" x14ac:dyDescent="0.2">
      <c r="Y78" s="68"/>
    </row>
    <row r="79" spans="1:25" x14ac:dyDescent="0.2">
      <c r="Y79" s="68"/>
    </row>
    <row r="80" spans="1:25" x14ac:dyDescent="0.2">
      <c r="Y80" s="68"/>
    </row>
    <row r="81" spans="16:31" x14ac:dyDescent="0.2">
      <c r="Y81" s="68"/>
    </row>
    <row r="82" spans="16:31" x14ac:dyDescent="0.2">
      <c r="Y82" s="68"/>
    </row>
    <row r="83" spans="16:31" x14ac:dyDescent="0.2">
      <c r="Y83" s="68"/>
    </row>
    <row r="84" spans="16:31" x14ac:dyDescent="0.2">
      <c r="Y84" s="68"/>
    </row>
    <row r="86" spans="16:31" x14ac:dyDescent="0.2">
      <c r="Y86" s="68"/>
    </row>
    <row r="87" spans="16:31" x14ac:dyDescent="0.2">
      <c r="Y87" s="75"/>
      <c r="AA87" s="75"/>
      <c r="AB87" s="75"/>
    </row>
    <row r="88" spans="16:31" ht="11.1" customHeight="1" x14ac:dyDescent="0.2">
      <c r="Y88" s="75"/>
      <c r="AA88" s="75"/>
      <c r="AB88" s="75"/>
      <c r="AC88" s="75"/>
      <c r="AD88" s="75"/>
      <c r="AE88" s="75"/>
    </row>
    <row r="89" spans="16:31" ht="11.1" customHeight="1" x14ac:dyDescent="0.2">
      <c r="Y89" s="68"/>
    </row>
    <row r="90" spans="16:31" ht="11.1" customHeight="1" x14ac:dyDescent="0.2"/>
    <row r="91" spans="16:31" ht="11.1" customHeight="1" x14ac:dyDescent="0.2">
      <c r="Y91" s="68"/>
    </row>
    <row r="92" spans="16:31" x14ac:dyDescent="0.2">
      <c r="P92" s="82"/>
      <c r="Y92" s="68"/>
    </row>
    <row r="93" spans="16:31" x14ac:dyDescent="0.2">
      <c r="Y93" s="68"/>
    </row>
    <row r="94" spans="16:31" x14ac:dyDescent="0.2">
      <c r="Y94" s="68"/>
    </row>
    <row r="96" spans="16:31" x14ac:dyDescent="0.2">
      <c r="Y96" s="68"/>
    </row>
    <row r="106" spans="15:24" x14ac:dyDescent="0.2">
      <c r="O106" s="82"/>
      <c r="P106" s="82"/>
      <c r="Q106" s="82"/>
      <c r="R106" s="82"/>
      <c r="S106" s="82"/>
      <c r="T106" s="82"/>
      <c r="U106" s="82"/>
      <c r="V106" s="82"/>
      <c r="W106" s="82"/>
      <c r="X106" s="82"/>
    </row>
    <row r="107" spans="15:24" x14ac:dyDescent="0.2">
      <c r="O107" s="82"/>
      <c r="P107" s="82"/>
      <c r="Q107" s="82"/>
      <c r="R107" s="82"/>
      <c r="S107" s="82"/>
      <c r="T107" s="82"/>
      <c r="U107" s="82"/>
      <c r="V107" s="82"/>
      <c r="W107" s="82"/>
      <c r="X107" s="82"/>
    </row>
    <row r="156" spans="16:16" x14ac:dyDescent="0.2">
      <c r="P156" s="82"/>
    </row>
    <row r="162" spans="15:24" x14ac:dyDescent="0.2">
      <c r="O162" s="82"/>
      <c r="P162" s="82"/>
      <c r="Q162" s="82"/>
      <c r="R162" s="82"/>
      <c r="S162" s="82"/>
      <c r="T162" s="82"/>
      <c r="U162" s="82"/>
      <c r="V162" s="82"/>
      <c r="W162" s="82"/>
      <c r="X162" s="82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59"/>
  <sheetViews>
    <sheetView showGridLines="0" zoomScale="120" zoomScaleNormal="120" workbookViewId="0">
      <pane xSplit="1" ySplit="4" topLeftCell="B37" activePane="bottomRight" state="frozen"/>
      <selection pane="topRight" activeCell="B1" sqref="B1"/>
      <selection pane="bottomLeft" activeCell="A5" sqref="A5"/>
      <selection pane="bottomRight" activeCell="E49" sqref="E49"/>
    </sheetView>
  </sheetViews>
  <sheetFormatPr defaultColWidth="8.875" defaultRowHeight="12" x14ac:dyDescent="0.15"/>
  <cols>
    <col min="1" max="1" width="19.375" style="105" customWidth="1"/>
    <col min="2" max="2" width="9.375" style="107" customWidth="1"/>
    <col min="3" max="3" width="1.25" style="109" customWidth="1"/>
    <col min="4" max="5" width="9.375" style="107" customWidth="1"/>
    <col min="6" max="6" width="1.75" style="106" customWidth="1"/>
    <col min="7" max="7" width="8.625" style="663" customWidth="1"/>
    <col min="8" max="8" width="8.125" style="105" customWidth="1"/>
    <col min="9" max="9" width="2" style="108" customWidth="1"/>
    <col min="10" max="11" width="9.375" style="107" customWidth="1"/>
    <col min="12" max="12" width="1.75" style="106" customWidth="1"/>
    <col min="13" max="13" width="8.625" style="323" customWidth="1"/>
    <col min="14" max="14" width="8.125" style="105" customWidth="1"/>
    <col min="15" max="15" width="8.625" style="104" customWidth="1"/>
    <col min="16" max="16384" width="8.875" style="103"/>
  </cols>
  <sheetData>
    <row r="1" spans="1:15" ht="12.75" customHeight="1" x14ac:dyDescent="0.2">
      <c r="A1" s="211" t="s">
        <v>360</v>
      </c>
      <c r="B1" s="230"/>
      <c r="C1" s="231"/>
      <c r="D1" s="230"/>
      <c r="E1" s="230"/>
      <c r="F1" s="230"/>
      <c r="G1" s="651"/>
      <c r="H1" s="212"/>
      <c r="I1" s="212"/>
      <c r="J1" s="230"/>
      <c r="K1" s="230"/>
      <c r="L1" s="230"/>
      <c r="M1" s="317"/>
      <c r="N1" s="214"/>
    </row>
    <row r="2" spans="1:15" ht="12.75" customHeight="1" x14ac:dyDescent="0.2">
      <c r="A2" s="215"/>
      <c r="B2" s="185"/>
      <c r="C2" s="122"/>
      <c r="D2" s="123"/>
      <c r="E2" s="123"/>
      <c r="F2" s="93" t="s">
        <v>394</v>
      </c>
      <c r="G2" s="652"/>
      <c r="H2" s="94"/>
      <c r="I2" s="121"/>
      <c r="J2" s="123"/>
      <c r="K2" s="123"/>
      <c r="L2" s="93" t="s">
        <v>473</v>
      </c>
      <c r="M2" s="318"/>
      <c r="N2" s="216"/>
    </row>
    <row r="3" spans="1:15" ht="12.75" customHeight="1" x14ac:dyDescent="0.2">
      <c r="A3" s="215"/>
      <c r="B3" s="182"/>
      <c r="C3" s="120"/>
      <c r="D3" s="182" t="s">
        <v>62</v>
      </c>
      <c r="E3" s="182" t="s">
        <v>56</v>
      </c>
      <c r="F3" s="182"/>
      <c r="G3" s="653" t="s">
        <v>171</v>
      </c>
      <c r="H3" s="217" t="s">
        <v>172</v>
      </c>
      <c r="I3" s="120"/>
      <c r="J3" s="182" t="s">
        <v>62</v>
      </c>
      <c r="K3" s="182" t="s">
        <v>56</v>
      </c>
      <c r="L3" s="182"/>
      <c r="M3" s="319" t="s">
        <v>171</v>
      </c>
      <c r="N3" s="218" t="s">
        <v>172</v>
      </c>
    </row>
    <row r="4" spans="1:15" ht="12.75" customHeight="1" x14ac:dyDescent="0.2">
      <c r="A4" s="219" t="s">
        <v>492</v>
      </c>
      <c r="B4" s="181">
        <v>2023</v>
      </c>
      <c r="C4" s="183"/>
      <c r="D4" s="181">
        <v>2024</v>
      </c>
      <c r="E4" s="181">
        <v>2024</v>
      </c>
      <c r="F4" s="181"/>
      <c r="G4" s="654" t="s">
        <v>173</v>
      </c>
      <c r="H4" s="95" t="s">
        <v>174</v>
      </c>
      <c r="I4" s="95"/>
      <c r="J4" s="181">
        <v>2024</v>
      </c>
      <c r="K4" s="181">
        <v>2024</v>
      </c>
      <c r="L4" s="181"/>
      <c r="M4" s="320" t="s">
        <v>173</v>
      </c>
      <c r="N4" s="220" t="s">
        <v>174</v>
      </c>
    </row>
    <row r="5" spans="1:15" ht="12.75" customHeight="1" x14ac:dyDescent="0.2">
      <c r="A5" s="221"/>
      <c r="F5" s="119"/>
      <c r="G5" s="655" t="s">
        <v>395</v>
      </c>
      <c r="H5" s="67"/>
      <c r="I5" s="118"/>
      <c r="L5" s="119"/>
      <c r="M5" s="321"/>
      <c r="N5" s="222"/>
    </row>
    <row r="6" spans="1:15" ht="12.75" customHeight="1" x14ac:dyDescent="0.2">
      <c r="A6" s="232"/>
      <c r="G6" s="656"/>
      <c r="H6" s="67"/>
      <c r="I6" s="118"/>
      <c r="M6" s="321"/>
      <c r="N6" s="222"/>
    </row>
    <row r="7" spans="1:15" ht="12.75" customHeight="1" x14ac:dyDescent="0.2">
      <c r="A7" s="223" t="s">
        <v>176</v>
      </c>
      <c r="B7" s="144">
        <v>293</v>
      </c>
      <c r="D7" s="144">
        <v>325</v>
      </c>
      <c r="E7" s="144">
        <v>325</v>
      </c>
      <c r="F7" s="96"/>
      <c r="G7" s="657">
        <f>E7-D7</f>
        <v>0</v>
      </c>
      <c r="H7" s="97">
        <f>E7-B7</f>
        <v>32</v>
      </c>
      <c r="I7" s="101"/>
      <c r="J7" s="144">
        <v>425</v>
      </c>
      <c r="K7" s="144">
        <v>425</v>
      </c>
      <c r="L7" s="96"/>
      <c r="M7" s="275">
        <f>K7-J7</f>
        <v>0</v>
      </c>
      <c r="N7" s="224">
        <f t="shared" ref="N7:N47" si="0">K7-E7</f>
        <v>100</v>
      </c>
    </row>
    <row r="8" spans="1:15" s="117" customFormat="1" ht="12.75" customHeight="1" x14ac:dyDescent="0.2">
      <c r="A8" s="233" t="s">
        <v>177</v>
      </c>
      <c r="B8" s="144">
        <v>248</v>
      </c>
      <c r="C8" s="108"/>
      <c r="D8" s="144">
        <v>260</v>
      </c>
      <c r="E8" s="144">
        <v>260</v>
      </c>
      <c r="F8" s="96"/>
      <c r="G8" s="657">
        <f t="shared" ref="G8:G47" si="1">E8-D8</f>
        <v>0</v>
      </c>
      <c r="H8" s="97">
        <f t="shared" ref="H8:H49" si="2">E8-B8</f>
        <v>12</v>
      </c>
      <c r="I8" s="101"/>
      <c r="J8" s="144">
        <v>260</v>
      </c>
      <c r="K8" s="144">
        <v>260</v>
      </c>
      <c r="L8" s="96"/>
      <c r="M8" s="275">
        <f t="shared" ref="M8:M51" si="3">K8-J8</f>
        <v>0</v>
      </c>
      <c r="N8" s="224">
        <f t="shared" si="0"/>
        <v>0</v>
      </c>
      <c r="O8" s="105"/>
    </row>
    <row r="9" spans="1:15" ht="12.75" customHeight="1" x14ac:dyDescent="0.2">
      <c r="A9" s="234" t="s">
        <v>179</v>
      </c>
      <c r="B9" s="178">
        <v>1208</v>
      </c>
      <c r="D9" s="178">
        <v>1100</v>
      </c>
      <c r="E9" s="178">
        <v>1100</v>
      </c>
      <c r="F9" s="96"/>
      <c r="G9" s="657">
        <f t="shared" si="1"/>
        <v>0</v>
      </c>
      <c r="H9" s="97">
        <f t="shared" si="2"/>
        <v>-108</v>
      </c>
      <c r="I9" s="101"/>
      <c r="J9" s="178">
        <v>1300</v>
      </c>
      <c r="K9" s="178">
        <v>1300</v>
      </c>
      <c r="L9" s="96"/>
      <c r="M9" s="275">
        <f t="shared" si="3"/>
        <v>0</v>
      </c>
      <c r="N9" s="224">
        <f t="shared" si="0"/>
        <v>200</v>
      </c>
    </row>
    <row r="10" spans="1:15" ht="12.75" customHeight="1" x14ac:dyDescent="0.2">
      <c r="A10" s="234" t="s">
        <v>180</v>
      </c>
      <c r="B10" s="142">
        <v>1577</v>
      </c>
      <c r="D10" s="142">
        <v>2000</v>
      </c>
      <c r="E10" s="142">
        <v>2000</v>
      </c>
      <c r="F10" s="96"/>
      <c r="G10" s="657">
        <f t="shared" si="1"/>
        <v>0</v>
      </c>
      <c r="H10" s="97">
        <f t="shared" si="2"/>
        <v>423</v>
      </c>
      <c r="I10" s="101"/>
      <c r="J10" s="142">
        <v>1800</v>
      </c>
      <c r="K10" s="142">
        <v>1800</v>
      </c>
      <c r="L10" s="96"/>
      <c r="M10" s="275">
        <f t="shared" si="3"/>
        <v>0</v>
      </c>
      <c r="N10" s="224">
        <f t="shared" si="0"/>
        <v>-200</v>
      </c>
    </row>
    <row r="11" spans="1:15" ht="12.75" customHeight="1" x14ac:dyDescent="0.2">
      <c r="A11" s="234" t="s">
        <v>181</v>
      </c>
      <c r="B11" s="98">
        <v>2500</v>
      </c>
      <c r="D11" s="98">
        <v>2700</v>
      </c>
      <c r="E11" s="98">
        <v>2700</v>
      </c>
      <c r="F11" s="96"/>
      <c r="G11" s="657">
        <f t="shared" si="1"/>
        <v>0</v>
      </c>
      <c r="H11" s="97">
        <f t="shared" si="2"/>
        <v>200</v>
      </c>
      <c r="I11" s="101"/>
      <c r="J11" s="98">
        <v>2900</v>
      </c>
      <c r="K11" s="98">
        <v>2900</v>
      </c>
      <c r="L11" s="96"/>
      <c r="M11" s="275">
        <f t="shared" si="3"/>
        <v>0</v>
      </c>
      <c r="N11" s="224">
        <f t="shared" si="0"/>
        <v>200</v>
      </c>
    </row>
    <row r="12" spans="1:15" ht="12.75" customHeight="1" x14ac:dyDescent="0.2">
      <c r="A12" s="234" t="s">
        <v>246</v>
      </c>
      <c r="B12" s="98">
        <v>22</v>
      </c>
      <c r="D12" s="98">
        <v>15</v>
      </c>
      <c r="E12" s="98">
        <v>15</v>
      </c>
      <c r="F12" s="96"/>
      <c r="G12" s="657">
        <f t="shared" ref="G12" si="4">E12-D12</f>
        <v>0</v>
      </c>
      <c r="H12" s="97">
        <f t="shared" ref="H12" si="5">E12-B12</f>
        <v>-7</v>
      </c>
      <c r="I12" s="101"/>
      <c r="J12" s="98">
        <v>15</v>
      </c>
      <c r="K12" s="98">
        <v>15</v>
      </c>
      <c r="L12" s="96"/>
      <c r="M12" s="275">
        <f t="shared" si="3"/>
        <v>0</v>
      </c>
      <c r="N12" s="224">
        <f t="shared" ref="N12" si="6">K12-E12</f>
        <v>0</v>
      </c>
    </row>
    <row r="13" spans="1:15" ht="12.75" customHeight="1" x14ac:dyDescent="0.2">
      <c r="A13" s="223" t="s">
        <v>182</v>
      </c>
      <c r="B13" s="98">
        <v>1602</v>
      </c>
      <c r="D13" s="98">
        <v>1500</v>
      </c>
      <c r="E13" s="98">
        <v>1500</v>
      </c>
      <c r="F13" s="96"/>
      <c r="G13" s="657">
        <f t="shared" si="1"/>
        <v>0</v>
      </c>
      <c r="H13" s="97">
        <f t="shared" si="2"/>
        <v>-102</v>
      </c>
      <c r="I13" s="101"/>
      <c r="J13" s="98">
        <v>1500</v>
      </c>
      <c r="K13" s="98">
        <v>1500</v>
      </c>
      <c r="L13" s="96"/>
      <c r="M13" s="275">
        <f t="shared" si="3"/>
        <v>0</v>
      </c>
      <c r="N13" s="224">
        <f t="shared" si="0"/>
        <v>0</v>
      </c>
    </row>
    <row r="14" spans="1:15" ht="12.75" customHeight="1" x14ac:dyDescent="0.2">
      <c r="A14" s="223" t="s">
        <v>183</v>
      </c>
      <c r="B14" s="144">
        <v>65</v>
      </c>
      <c r="D14" s="144">
        <v>50</v>
      </c>
      <c r="E14" s="144">
        <v>50</v>
      </c>
      <c r="F14" s="96"/>
      <c r="G14" s="657">
        <f t="shared" si="1"/>
        <v>0</v>
      </c>
      <c r="H14" s="97">
        <f t="shared" si="2"/>
        <v>-15</v>
      </c>
      <c r="I14" s="101"/>
      <c r="J14" s="144">
        <v>55</v>
      </c>
      <c r="K14" s="144">
        <v>55</v>
      </c>
      <c r="L14" s="96"/>
      <c r="M14" s="275">
        <f t="shared" si="3"/>
        <v>0</v>
      </c>
      <c r="N14" s="224">
        <f>K14-E14</f>
        <v>5</v>
      </c>
    </row>
    <row r="15" spans="1:15" ht="12.75" customHeight="1" x14ac:dyDescent="0.2">
      <c r="A15" s="223" t="s">
        <v>288</v>
      </c>
      <c r="B15" s="144">
        <v>20</v>
      </c>
      <c r="D15" s="144">
        <v>20</v>
      </c>
      <c r="E15" s="144">
        <v>20</v>
      </c>
      <c r="F15" s="96"/>
      <c r="G15" s="657">
        <f t="shared" si="1"/>
        <v>0</v>
      </c>
      <c r="H15" s="97">
        <f t="shared" si="2"/>
        <v>0</v>
      </c>
      <c r="I15" s="101"/>
      <c r="J15" s="144">
        <v>25</v>
      </c>
      <c r="K15" s="144">
        <v>25</v>
      </c>
      <c r="L15" s="96"/>
      <c r="M15" s="275">
        <f t="shared" si="3"/>
        <v>0</v>
      </c>
      <c r="N15" s="224">
        <f>K15-E15</f>
        <v>5</v>
      </c>
    </row>
    <row r="16" spans="1:15" ht="12.75" customHeight="1" x14ac:dyDescent="0.2">
      <c r="A16" s="223" t="s">
        <v>184</v>
      </c>
      <c r="B16" s="144">
        <v>21</v>
      </c>
      <c r="D16" s="144">
        <v>25</v>
      </c>
      <c r="E16" s="144">
        <v>25</v>
      </c>
      <c r="F16" s="96"/>
      <c r="G16" s="657">
        <f t="shared" si="1"/>
        <v>0</v>
      </c>
      <c r="H16" s="97">
        <f t="shared" si="2"/>
        <v>4</v>
      </c>
      <c r="I16" s="101"/>
      <c r="J16" s="144">
        <v>35</v>
      </c>
      <c r="K16" s="144">
        <v>35</v>
      </c>
      <c r="L16" s="96"/>
      <c r="M16" s="275">
        <f t="shared" si="3"/>
        <v>0</v>
      </c>
      <c r="N16" s="224">
        <f t="shared" si="0"/>
        <v>10</v>
      </c>
    </row>
    <row r="17" spans="1:14" ht="12.75" customHeight="1" x14ac:dyDescent="0.2">
      <c r="A17" s="223" t="s">
        <v>186</v>
      </c>
      <c r="B17" s="144">
        <v>10</v>
      </c>
      <c r="D17" s="144">
        <v>0</v>
      </c>
      <c r="E17" s="144">
        <v>0</v>
      </c>
      <c r="F17" s="96"/>
      <c r="G17" s="657">
        <f t="shared" si="1"/>
        <v>0</v>
      </c>
      <c r="H17" s="97">
        <f t="shared" si="2"/>
        <v>-10</v>
      </c>
      <c r="I17" s="101"/>
      <c r="J17" s="144">
        <v>0</v>
      </c>
      <c r="K17" s="144">
        <v>0</v>
      </c>
      <c r="L17" s="96"/>
      <c r="M17" s="275">
        <f t="shared" si="3"/>
        <v>0</v>
      </c>
      <c r="N17" s="224">
        <f>K17-E17</f>
        <v>0</v>
      </c>
    </row>
    <row r="18" spans="1:14" ht="12.75" customHeight="1" x14ac:dyDescent="0.2">
      <c r="A18" s="223" t="s">
        <v>292</v>
      </c>
      <c r="B18" s="144">
        <v>20</v>
      </c>
      <c r="D18" s="144">
        <v>15</v>
      </c>
      <c r="E18" s="144">
        <v>15</v>
      </c>
      <c r="F18" s="96"/>
      <c r="G18" s="657">
        <f t="shared" si="1"/>
        <v>0</v>
      </c>
      <c r="H18" s="97">
        <f t="shared" si="2"/>
        <v>-5</v>
      </c>
      <c r="I18" s="101"/>
      <c r="J18" s="144">
        <v>20</v>
      </c>
      <c r="K18" s="144">
        <v>20</v>
      </c>
      <c r="L18" s="96"/>
      <c r="M18" s="275">
        <f t="shared" si="3"/>
        <v>0</v>
      </c>
      <c r="N18" s="224">
        <f>K18-E18</f>
        <v>5</v>
      </c>
    </row>
    <row r="19" spans="1:14" ht="12.75" customHeight="1" x14ac:dyDescent="0.2">
      <c r="A19" s="223" t="s">
        <v>187</v>
      </c>
      <c r="B19" s="144">
        <v>5</v>
      </c>
      <c r="D19" s="144">
        <v>5</v>
      </c>
      <c r="E19" s="144">
        <v>5</v>
      </c>
      <c r="F19" s="96"/>
      <c r="G19" s="657">
        <f t="shared" si="1"/>
        <v>0</v>
      </c>
      <c r="H19" s="97">
        <f t="shared" si="2"/>
        <v>0</v>
      </c>
      <c r="I19" s="101"/>
      <c r="J19" s="144">
        <v>5</v>
      </c>
      <c r="K19" s="144">
        <v>5</v>
      </c>
      <c r="L19" s="96"/>
      <c r="M19" s="275">
        <f t="shared" si="3"/>
        <v>0</v>
      </c>
      <c r="N19" s="224">
        <f t="shared" si="0"/>
        <v>0</v>
      </c>
    </row>
    <row r="20" spans="1:14" ht="12.75" customHeight="1" x14ac:dyDescent="0.2">
      <c r="A20" s="223" t="s">
        <v>399</v>
      </c>
      <c r="B20" s="144">
        <v>14</v>
      </c>
      <c r="D20" s="144">
        <v>5</v>
      </c>
      <c r="E20" s="144">
        <v>5</v>
      </c>
      <c r="F20" s="96"/>
      <c r="G20" s="657">
        <f t="shared" si="1"/>
        <v>0</v>
      </c>
      <c r="H20" s="97">
        <f t="shared" si="2"/>
        <v>-9</v>
      </c>
      <c r="I20" s="101"/>
      <c r="J20" s="144">
        <v>5</v>
      </c>
      <c r="K20" s="144">
        <v>5</v>
      </c>
      <c r="L20" s="96"/>
      <c r="M20" s="275">
        <f t="shared" si="3"/>
        <v>0</v>
      </c>
      <c r="N20" s="224">
        <f t="shared" si="0"/>
        <v>0</v>
      </c>
    </row>
    <row r="21" spans="1:14" ht="12.75" customHeight="1" x14ac:dyDescent="0.2">
      <c r="A21" s="223" t="s">
        <v>188</v>
      </c>
      <c r="B21" s="144">
        <v>366</v>
      </c>
      <c r="D21" s="144">
        <v>360</v>
      </c>
      <c r="E21" s="144">
        <v>360</v>
      </c>
      <c r="F21" s="96"/>
      <c r="G21" s="657">
        <f t="shared" si="1"/>
        <v>0</v>
      </c>
      <c r="H21" s="97">
        <f t="shared" si="2"/>
        <v>-6</v>
      </c>
      <c r="I21" s="101"/>
      <c r="J21" s="144">
        <v>400</v>
      </c>
      <c r="K21" s="144">
        <v>400</v>
      </c>
      <c r="L21" s="96"/>
      <c r="M21" s="275">
        <f t="shared" si="3"/>
        <v>0</v>
      </c>
      <c r="N21" s="224">
        <f t="shared" si="0"/>
        <v>40</v>
      </c>
    </row>
    <row r="22" spans="1:14" ht="12.75" customHeight="1" x14ac:dyDescent="0.2">
      <c r="A22" s="223" t="s">
        <v>190</v>
      </c>
      <c r="B22" s="144">
        <v>80</v>
      </c>
      <c r="D22" s="144">
        <v>80</v>
      </c>
      <c r="E22" s="144">
        <v>80</v>
      </c>
      <c r="F22" s="96"/>
      <c r="G22" s="657">
        <f t="shared" si="1"/>
        <v>0</v>
      </c>
      <c r="H22" s="97">
        <f t="shared" si="2"/>
        <v>0</v>
      </c>
      <c r="I22" s="101"/>
      <c r="J22" s="144">
        <v>50</v>
      </c>
      <c r="K22" s="144">
        <v>50</v>
      </c>
      <c r="L22" s="96"/>
      <c r="M22" s="275">
        <f t="shared" si="3"/>
        <v>0</v>
      </c>
      <c r="N22" s="224">
        <f t="shared" si="0"/>
        <v>-30</v>
      </c>
    </row>
    <row r="23" spans="1:14" ht="12.75" customHeight="1" x14ac:dyDescent="0.2">
      <c r="A23" s="223" t="s">
        <v>191</v>
      </c>
      <c r="B23" s="144">
        <v>399</v>
      </c>
      <c r="D23" s="144">
        <v>440</v>
      </c>
      <c r="E23" s="144">
        <v>465</v>
      </c>
      <c r="F23" s="96"/>
      <c r="G23" s="657">
        <f t="shared" si="1"/>
        <v>25</v>
      </c>
      <c r="H23" s="97">
        <f t="shared" si="2"/>
        <v>66</v>
      </c>
      <c r="I23" s="101"/>
      <c r="J23" s="144">
        <v>450</v>
      </c>
      <c r="K23" s="144">
        <v>450</v>
      </c>
      <c r="L23" s="96"/>
      <c r="M23" s="275">
        <f t="shared" si="3"/>
        <v>0</v>
      </c>
      <c r="N23" s="224">
        <f t="shared" si="0"/>
        <v>-15</v>
      </c>
    </row>
    <row r="24" spans="1:14" ht="12.75" customHeight="1" x14ac:dyDescent="0.2">
      <c r="A24" s="223" t="s">
        <v>192</v>
      </c>
      <c r="B24" s="98">
        <v>17733</v>
      </c>
      <c r="D24" s="98">
        <v>16500</v>
      </c>
      <c r="E24" s="98">
        <v>17000</v>
      </c>
      <c r="F24" s="96"/>
      <c r="G24" s="658">
        <f>E24-D24</f>
        <v>500</v>
      </c>
      <c r="H24" s="97">
        <f t="shared" si="2"/>
        <v>-733</v>
      </c>
      <c r="I24" s="101"/>
      <c r="J24" s="98">
        <v>18000</v>
      </c>
      <c r="K24" s="98">
        <v>18000</v>
      </c>
      <c r="L24" s="96"/>
      <c r="M24" s="275">
        <f t="shared" si="3"/>
        <v>0</v>
      </c>
      <c r="N24" s="224">
        <f t="shared" si="0"/>
        <v>1000</v>
      </c>
    </row>
    <row r="25" spans="1:14" ht="12.75" customHeight="1" x14ac:dyDescent="0.2">
      <c r="A25" s="223" t="s">
        <v>196</v>
      </c>
      <c r="B25" s="144">
        <v>80</v>
      </c>
      <c r="D25" s="144">
        <v>80</v>
      </c>
      <c r="E25" s="144">
        <v>80</v>
      </c>
      <c r="F25" s="96"/>
      <c r="G25" s="657">
        <f t="shared" si="1"/>
        <v>0</v>
      </c>
      <c r="H25" s="97">
        <f t="shared" si="2"/>
        <v>0</v>
      </c>
      <c r="I25" s="101"/>
      <c r="J25" s="144">
        <v>80</v>
      </c>
      <c r="K25" s="144">
        <v>80</v>
      </c>
      <c r="L25" s="96"/>
      <c r="M25" s="275">
        <f t="shared" si="3"/>
        <v>0</v>
      </c>
      <c r="N25" s="224">
        <f t="shared" si="0"/>
        <v>0</v>
      </c>
    </row>
    <row r="26" spans="1:14" ht="12.75" customHeight="1" x14ac:dyDescent="0.2">
      <c r="A26" s="223" t="s">
        <v>232</v>
      </c>
      <c r="B26" s="144">
        <v>108</v>
      </c>
      <c r="D26" s="144">
        <v>80</v>
      </c>
      <c r="E26" s="144">
        <v>80</v>
      </c>
      <c r="F26" s="96"/>
      <c r="G26" s="657">
        <f t="shared" si="1"/>
        <v>0</v>
      </c>
      <c r="H26" s="97">
        <f t="shared" si="2"/>
        <v>-28</v>
      </c>
      <c r="I26" s="101"/>
      <c r="J26" s="144">
        <v>80</v>
      </c>
      <c r="K26" s="144">
        <v>80</v>
      </c>
      <c r="L26" s="96"/>
      <c r="M26" s="275">
        <f t="shared" si="3"/>
        <v>0</v>
      </c>
      <c r="N26" s="224">
        <f>K26-E26</f>
        <v>0</v>
      </c>
    </row>
    <row r="27" spans="1:14" ht="12.75" customHeight="1" x14ac:dyDescent="0.2">
      <c r="A27" s="223" t="s">
        <v>275</v>
      </c>
      <c r="B27" s="144">
        <v>61</v>
      </c>
      <c r="D27" s="144">
        <v>100</v>
      </c>
      <c r="E27" s="144">
        <v>100</v>
      </c>
      <c r="F27" s="96"/>
      <c r="G27" s="657">
        <f t="shared" si="1"/>
        <v>0</v>
      </c>
      <c r="H27" s="97">
        <f t="shared" si="2"/>
        <v>39</v>
      </c>
      <c r="I27" s="101"/>
      <c r="J27" s="144">
        <v>125</v>
      </c>
      <c r="K27" s="144">
        <v>125</v>
      </c>
      <c r="L27" s="96"/>
      <c r="M27" s="275">
        <f t="shared" si="3"/>
        <v>0</v>
      </c>
      <c r="N27" s="224">
        <f t="shared" si="0"/>
        <v>25</v>
      </c>
    </row>
    <row r="28" spans="1:14" ht="12.75" customHeight="1" x14ac:dyDescent="0.2">
      <c r="A28" s="223" t="s">
        <v>199</v>
      </c>
      <c r="B28" s="144">
        <v>40</v>
      </c>
      <c r="D28" s="144">
        <v>50</v>
      </c>
      <c r="E28" s="144">
        <v>50</v>
      </c>
      <c r="F28" s="96"/>
      <c r="G28" s="657">
        <f t="shared" si="1"/>
        <v>0</v>
      </c>
      <c r="H28" s="97">
        <f t="shared" si="2"/>
        <v>10</v>
      </c>
      <c r="I28" s="101"/>
      <c r="J28" s="144">
        <v>50</v>
      </c>
      <c r="K28" s="144">
        <v>50</v>
      </c>
      <c r="L28" s="96"/>
      <c r="M28" s="275">
        <f t="shared" si="3"/>
        <v>0</v>
      </c>
      <c r="N28" s="224">
        <f t="shared" si="0"/>
        <v>0</v>
      </c>
    </row>
    <row r="29" spans="1:14" ht="12.75" customHeight="1" x14ac:dyDescent="0.2">
      <c r="A29" s="223" t="s">
        <v>202</v>
      </c>
      <c r="B29" s="144">
        <v>123</v>
      </c>
      <c r="D29" s="144">
        <v>100</v>
      </c>
      <c r="E29" s="144">
        <v>100</v>
      </c>
      <c r="F29" s="96"/>
      <c r="G29" s="657">
        <f t="shared" si="1"/>
        <v>0</v>
      </c>
      <c r="H29" s="97">
        <f t="shared" si="2"/>
        <v>-23</v>
      </c>
      <c r="I29" s="101"/>
      <c r="J29" s="144">
        <v>100</v>
      </c>
      <c r="K29" s="144">
        <v>100</v>
      </c>
      <c r="L29" s="96"/>
      <c r="M29" s="275">
        <f t="shared" si="3"/>
        <v>0</v>
      </c>
      <c r="N29" s="224">
        <f>K29-E29</f>
        <v>0</v>
      </c>
    </row>
    <row r="30" spans="1:14" ht="12.75" customHeight="1" x14ac:dyDescent="0.2">
      <c r="A30" s="223" t="s">
        <v>204</v>
      </c>
      <c r="B30" s="144">
        <v>5</v>
      </c>
      <c r="D30" s="144">
        <v>5</v>
      </c>
      <c r="E30" s="144">
        <v>5</v>
      </c>
      <c r="F30" s="96"/>
      <c r="G30" s="657">
        <f t="shared" si="1"/>
        <v>0</v>
      </c>
      <c r="H30" s="97">
        <f t="shared" si="2"/>
        <v>0</v>
      </c>
      <c r="I30" s="101"/>
      <c r="J30" s="144">
        <v>5</v>
      </c>
      <c r="K30" s="144">
        <v>5</v>
      </c>
      <c r="L30" s="96"/>
      <c r="M30" s="275">
        <f t="shared" si="3"/>
        <v>0</v>
      </c>
      <c r="N30" s="224">
        <f>K30-E30</f>
        <v>0</v>
      </c>
    </row>
    <row r="31" spans="1:14" ht="12.75" customHeight="1" x14ac:dyDescent="0.2">
      <c r="A31" s="223" t="s">
        <v>208</v>
      </c>
      <c r="B31" s="98">
        <v>4528</v>
      </c>
      <c r="D31" s="98">
        <v>5500</v>
      </c>
      <c r="E31" s="98">
        <v>5700</v>
      </c>
      <c r="F31" s="96"/>
      <c r="G31" s="657">
        <f t="shared" si="1"/>
        <v>200</v>
      </c>
      <c r="H31" s="97">
        <f t="shared" si="2"/>
        <v>1172</v>
      </c>
      <c r="I31" s="101"/>
      <c r="J31" s="98">
        <v>5200</v>
      </c>
      <c r="K31" s="98">
        <v>5200</v>
      </c>
      <c r="L31" s="96"/>
      <c r="M31" s="275">
        <f t="shared" si="3"/>
        <v>0</v>
      </c>
      <c r="N31" s="224">
        <f t="shared" si="0"/>
        <v>-500</v>
      </c>
    </row>
    <row r="32" spans="1:14" ht="12.75" customHeight="1" x14ac:dyDescent="0.2">
      <c r="A32" s="223" t="s">
        <v>209</v>
      </c>
      <c r="B32" s="144">
        <v>857</v>
      </c>
      <c r="D32" s="144">
        <v>800</v>
      </c>
      <c r="E32" s="144">
        <v>800</v>
      </c>
      <c r="F32" s="96"/>
      <c r="G32" s="657">
        <f t="shared" si="1"/>
        <v>0</v>
      </c>
      <c r="H32" s="97">
        <f t="shared" si="2"/>
        <v>-57</v>
      </c>
      <c r="I32" s="101"/>
      <c r="J32" s="144">
        <v>850</v>
      </c>
      <c r="K32" s="144">
        <v>850</v>
      </c>
      <c r="L32" s="96"/>
      <c r="M32" s="275">
        <f t="shared" si="3"/>
        <v>0</v>
      </c>
      <c r="N32" s="224">
        <f t="shared" si="0"/>
        <v>50</v>
      </c>
    </row>
    <row r="33" spans="1:15" ht="12.75" customHeight="1" x14ac:dyDescent="0.2">
      <c r="A33" s="223" t="s">
        <v>210</v>
      </c>
      <c r="B33" s="144">
        <v>50</v>
      </c>
      <c r="D33" s="144">
        <v>50</v>
      </c>
      <c r="E33" s="144">
        <v>50</v>
      </c>
      <c r="F33" s="96"/>
      <c r="G33" s="657">
        <f t="shared" si="1"/>
        <v>0</v>
      </c>
      <c r="H33" s="97">
        <f t="shared" si="2"/>
        <v>0</v>
      </c>
      <c r="I33" s="101"/>
      <c r="J33" s="144">
        <v>50</v>
      </c>
      <c r="K33" s="144">
        <v>50</v>
      </c>
      <c r="L33" s="96"/>
      <c r="M33" s="275">
        <f t="shared" si="3"/>
        <v>0</v>
      </c>
      <c r="N33" s="224">
        <f t="shared" si="0"/>
        <v>0</v>
      </c>
    </row>
    <row r="34" spans="1:15" ht="12.75" customHeight="1" x14ac:dyDescent="0.2">
      <c r="A34" s="223" t="s">
        <v>212</v>
      </c>
      <c r="B34" s="144">
        <v>100</v>
      </c>
      <c r="D34" s="144">
        <v>100</v>
      </c>
      <c r="E34" s="144">
        <v>100</v>
      </c>
      <c r="F34" s="96"/>
      <c r="G34" s="657">
        <f t="shared" si="1"/>
        <v>0</v>
      </c>
      <c r="H34" s="97">
        <f t="shared" si="2"/>
        <v>0</v>
      </c>
      <c r="I34" s="101"/>
      <c r="J34" s="144">
        <v>75</v>
      </c>
      <c r="K34" s="144">
        <v>75</v>
      </c>
      <c r="L34" s="96"/>
      <c r="M34" s="275">
        <f t="shared" si="3"/>
        <v>0</v>
      </c>
      <c r="N34" s="224">
        <f t="shared" si="0"/>
        <v>-25</v>
      </c>
    </row>
    <row r="35" spans="1:15" ht="12.75" customHeight="1" x14ac:dyDescent="0.2">
      <c r="A35" s="223" t="s">
        <v>231</v>
      </c>
      <c r="B35" s="144">
        <v>80</v>
      </c>
      <c r="D35" s="144">
        <v>75</v>
      </c>
      <c r="E35" s="144">
        <v>75</v>
      </c>
      <c r="F35" s="96"/>
      <c r="G35" s="657">
        <f t="shared" si="1"/>
        <v>0</v>
      </c>
      <c r="H35" s="97">
        <f t="shared" si="2"/>
        <v>-5</v>
      </c>
      <c r="I35" s="101"/>
      <c r="J35" s="144">
        <v>75</v>
      </c>
      <c r="K35" s="144">
        <v>75</v>
      </c>
      <c r="L35" s="96"/>
      <c r="M35" s="275">
        <f t="shared" si="3"/>
        <v>0</v>
      </c>
      <c r="N35" s="224">
        <f t="shared" si="0"/>
        <v>0</v>
      </c>
    </row>
    <row r="36" spans="1:15" ht="12.75" customHeight="1" x14ac:dyDescent="0.2">
      <c r="A36" s="223" t="s">
        <v>230</v>
      </c>
      <c r="B36" s="144">
        <v>159</v>
      </c>
      <c r="D36" s="144">
        <v>160</v>
      </c>
      <c r="E36" s="144">
        <v>160</v>
      </c>
      <c r="F36" s="96"/>
      <c r="G36" s="657">
        <f t="shared" si="1"/>
        <v>0</v>
      </c>
      <c r="H36" s="97">
        <f t="shared" si="2"/>
        <v>1</v>
      </c>
      <c r="I36" s="101"/>
      <c r="J36" s="144">
        <v>150</v>
      </c>
      <c r="K36" s="144">
        <v>150</v>
      </c>
      <c r="L36" s="96"/>
      <c r="M36" s="275">
        <f t="shared" si="3"/>
        <v>0</v>
      </c>
      <c r="N36" s="224">
        <f t="shared" si="0"/>
        <v>-10</v>
      </c>
    </row>
    <row r="37" spans="1:15" ht="12.75" customHeight="1" x14ac:dyDescent="0.2">
      <c r="A37" s="223" t="s">
        <v>229</v>
      </c>
      <c r="B37" s="144">
        <v>110</v>
      </c>
      <c r="D37" s="144">
        <v>100</v>
      </c>
      <c r="E37" s="144">
        <v>100</v>
      </c>
      <c r="F37" s="96"/>
      <c r="G37" s="657">
        <f t="shared" si="1"/>
        <v>0</v>
      </c>
      <c r="H37" s="97">
        <f t="shared" si="2"/>
        <v>-10</v>
      </c>
      <c r="I37" s="101"/>
      <c r="J37" s="144">
        <v>100</v>
      </c>
      <c r="K37" s="144">
        <v>100</v>
      </c>
      <c r="L37" s="96"/>
      <c r="M37" s="275">
        <f t="shared" si="3"/>
        <v>0</v>
      </c>
      <c r="N37" s="224">
        <f t="shared" si="0"/>
        <v>0</v>
      </c>
    </row>
    <row r="38" spans="1:15" ht="12.75" customHeight="1" x14ac:dyDescent="0.2">
      <c r="A38" s="223" t="s">
        <v>215</v>
      </c>
      <c r="B38" s="144">
        <v>129</v>
      </c>
      <c r="D38" s="144">
        <v>150</v>
      </c>
      <c r="E38" s="144">
        <v>150</v>
      </c>
      <c r="F38" s="96"/>
      <c r="G38" s="657">
        <f t="shared" si="1"/>
        <v>0</v>
      </c>
      <c r="H38" s="97">
        <f t="shared" si="2"/>
        <v>21</v>
      </c>
      <c r="I38" s="101"/>
      <c r="J38" s="144">
        <v>120</v>
      </c>
      <c r="K38" s="144">
        <v>120</v>
      </c>
      <c r="L38" s="96"/>
      <c r="M38" s="275">
        <f t="shared" si="3"/>
        <v>0</v>
      </c>
      <c r="N38" s="224">
        <f>K38-E38</f>
        <v>-30</v>
      </c>
    </row>
    <row r="39" spans="1:15" ht="12.75" customHeight="1" x14ac:dyDescent="0.2">
      <c r="A39" s="223" t="s">
        <v>216</v>
      </c>
      <c r="B39" s="144">
        <v>25</v>
      </c>
      <c r="D39" s="144">
        <v>10</v>
      </c>
      <c r="E39" s="144">
        <v>10</v>
      </c>
      <c r="F39" s="96"/>
      <c r="G39" s="657">
        <f t="shared" si="1"/>
        <v>0</v>
      </c>
      <c r="H39" s="97">
        <f t="shared" si="2"/>
        <v>-15</v>
      </c>
      <c r="I39" s="101"/>
      <c r="J39" s="144">
        <v>10</v>
      </c>
      <c r="K39" s="144">
        <v>10</v>
      </c>
      <c r="L39" s="96"/>
      <c r="M39" s="275">
        <f t="shared" si="3"/>
        <v>0</v>
      </c>
      <c r="N39" s="224">
        <f>K39-E39</f>
        <v>0</v>
      </c>
    </row>
    <row r="40" spans="1:15" ht="12.75" customHeight="1" x14ac:dyDescent="0.2">
      <c r="A40" s="223" t="s">
        <v>217</v>
      </c>
      <c r="B40" s="142">
        <v>8736</v>
      </c>
      <c r="D40" s="142">
        <v>8400</v>
      </c>
      <c r="E40" s="142">
        <v>8500</v>
      </c>
      <c r="F40" s="96"/>
      <c r="G40" s="657">
        <f t="shared" si="1"/>
        <v>100</v>
      </c>
      <c r="H40" s="97">
        <f t="shared" si="2"/>
        <v>-236</v>
      </c>
      <c r="I40" s="101"/>
      <c r="J40" s="142">
        <v>7500</v>
      </c>
      <c r="K40" s="142">
        <v>7500</v>
      </c>
      <c r="L40" s="96"/>
      <c r="M40" s="275">
        <f t="shared" si="3"/>
        <v>0</v>
      </c>
      <c r="N40" s="224">
        <f t="shared" si="0"/>
        <v>-1000</v>
      </c>
    </row>
    <row r="41" spans="1:15" ht="12.75" customHeight="1" x14ac:dyDescent="0.2">
      <c r="A41" s="223" t="s">
        <v>218</v>
      </c>
      <c r="B41" s="144">
        <v>258</v>
      </c>
      <c r="D41" s="144">
        <v>300</v>
      </c>
      <c r="E41" s="144">
        <v>300</v>
      </c>
      <c r="F41" s="96"/>
      <c r="G41" s="657">
        <f t="shared" si="1"/>
        <v>0</v>
      </c>
      <c r="H41" s="97">
        <f t="shared" si="2"/>
        <v>42</v>
      </c>
      <c r="I41" s="101"/>
      <c r="J41" s="144">
        <v>250</v>
      </c>
      <c r="K41" s="144">
        <v>250</v>
      </c>
      <c r="L41" s="96"/>
      <c r="M41" s="275">
        <f t="shared" si="3"/>
        <v>0</v>
      </c>
      <c r="N41" s="224">
        <f t="shared" si="0"/>
        <v>-50</v>
      </c>
    </row>
    <row r="42" spans="1:15" ht="12.75" customHeight="1" x14ac:dyDescent="0.2">
      <c r="A42" s="223" t="s">
        <v>307</v>
      </c>
      <c r="B42" s="144">
        <v>30</v>
      </c>
      <c r="D42" s="144">
        <v>35</v>
      </c>
      <c r="E42" s="144">
        <v>35</v>
      </c>
      <c r="F42" s="96"/>
      <c r="G42" s="657">
        <f t="shared" si="1"/>
        <v>0</v>
      </c>
      <c r="H42" s="97">
        <f t="shared" si="2"/>
        <v>5</v>
      </c>
      <c r="I42" s="101"/>
      <c r="J42" s="144">
        <v>35</v>
      </c>
      <c r="K42" s="144">
        <v>35</v>
      </c>
      <c r="L42" s="96"/>
      <c r="M42" s="275">
        <f t="shared" si="3"/>
        <v>0</v>
      </c>
      <c r="N42" s="224">
        <f t="shared" si="0"/>
        <v>0</v>
      </c>
    </row>
    <row r="43" spans="1:15" ht="12.75" customHeight="1" x14ac:dyDescent="0.2">
      <c r="A43" s="223" t="s">
        <v>220</v>
      </c>
      <c r="B43" s="142">
        <v>2357</v>
      </c>
      <c r="D43" s="142">
        <v>3075</v>
      </c>
      <c r="E43" s="142">
        <v>3100</v>
      </c>
      <c r="F43" s="96"/>
      <c r="G43" s="659">
        <f t="shared" si="1"/>
        <v>25</v>
      </c>
      <c r="H43" s="97">
        <f t="shared" si="2"/>
        <v>743</v>
      </c>
      <c r="I43" s="101"/>
      <c r="J43" s="142">
        <v>3200</v>
      </c>
      <c r="K43" s="142">
        <v>3200</v>
      </c>
      <c r="L43" s="96"/>
      <c r="M43" s="275">
        <f t="shared" si="3"/>
        <v>0</v>
      </c>
      <c r="N43" s="224">
        <f t="shared" si="0"/>
        <v>100</v>
      </c>
    </row>
    <row r="44" spans="1:15" ht="12.75" customHeight="1" x14ac:dyDescent="0.2">
      <c r="A44" s="223" t="s">
        <v>221</v>
      </c>
      <c r="B44" s="288">
        <v>991</v>
      </c>
      <c r="D44" s="144">
        <v>925</v>
      </c>
      <c r="E44" s="144">
        <v>875</v>
      </c>
      <c r="F44" s="96"/>
      <c r="G44" s="657">
        <f t="shared" si="1"/>
        <v>-50</v>
      </c>
      <c r="H44" s="97">
        <f t="shared" si="2"/>
        <v>-116</v>
      </c>
      <c r="I44" s="101"/>
      <c r="J44" s="144">
        <v>1000</v>
      </c>
      <c r="K44" s="142">
        <v>1000</v>
      </c>
      <c r="L44" s="96"/>
      <c r="M44" s="275">
        <f t="shared" si="3"/>
        <v>0</v>
      </c>
      <c r="N44" s="224">
        <f t="shared" si="0"/>
        <v>125</v>
      </c>
    </row>
    <row r="45" spans="1:15" s="137" customFormat="1" ht="12.75" customHeight="1" x14ac:dyDescent="0.2">
      <c r="A45" s="235" t="s">
        <v>223</v>
      </c>
      <c r="B45" s="98">
        <v>8225</v>
      </c>
      <c r="C45" s="133"/>
      <c r="D45" s="98">
        <v>8000</v>
      </c>
      <c r="E45" s="98">
        <v>8300</v>
      </c>
      <c r="F45" s="236"/>
      <c r="G45" s="657">
        <f t="shared" si="1"/>
        <v>300</v>
      </c>
      <c r="H45" s="97">
        <f t="shared" si="2"/>
        <v>75</v>
      </c>
      <c r="I45" s="135"/>
      <c r="J45" s="98">
        <v>7500</v>
      </c>
      <c r="K45" s="98">
        <v>7500</v>
      </c>
      <c r="L45" s="236"/>
      <c r="M45" s="275">
        <f t="shared" si="3"/>
        <v>0</v>
      </c>
      <c r="N45" s="226">
        <f t="shared" si="0"/>
        <v>-800</v>
      </c>
      <c r="O45" s="136"/>
    </row>
    <row r="46" spans="1:15" s="137" customFormat="1" ht="12.75" customHeight="1" x14ac:dyDescent="0.2">
      <c r="A46" s="235" t="s">
        <v>224</v>
      </c>
      <c r="B46" s="134">
        <f>SUM(B7:B45)</f>
        <v>53235</v>
      </c>
      <c r="C46" s="133"/>
      <c r="D46" s="134">
        <f>SUM(D7:D45)</f>
        <v>53495</v>
      </c>
      <c r="E46" s="134">
        <f>SUM(E7:E45)</f>
        <v>54595</v>
      </c>
      <c r="F46" s="236"/>
      <c r="G46" s="657">
        <f t="shared" si="1"/>
        <v>1100</v>
      </c>
      <c r="H46" s="97">
        <f t="shared" si="2"/>
        <v>1360</v>
      </c>
      <c r="I46" s="134"/>
      <c r="J46" s="134">
        <f>SUM(J7:J45)</f>
        <v>53800</v>
      </c>
      <c r="K46" s="134">
        <f>SUM(K7:K45)</f>
        <v>53800</v>
      </c>
      <c r="L46" s="236"/>
      <c r="M46" s="275">
        <f t="shared" si="3"/>
        <v>0</v>
      </c>
      <c r="N46" s="226">
        <f t="shared" si="0"/>
        <v>-795</v>
      </c>
      <c r="O46" s="136"/>
    </row>
    <row r="47" spans="1:15" s="137" customFormat="1" ht="12.75" customHeight="1" x14ac:dyDescent="0.2">
      <c r="A47" s="235" t="s">
        <v>228</v>
      </c>
      <c r="B47" s="139">
        <f>B49-B46</f>
        <v>29</v>
      </c>
      <c r="C47" s="133"/>
      <c r="D47" s="139">
        <f>D49-D46</f>
        <v>28</v>
      </c>
      <c r="E47" s="139">
        <f>E49-E46</f>
        <v>28</v>
      </c>
      <c r="F47" s="237"/>
      <c r="G47" s="657">
        <f t="shared" si="1"/>
        <v>0</v>
      </c>
      <c r="H47" s="97">
        <f t="shared" si="2"/>
        <v>-1</v>
      </c>
      <c r="I47" s="139"/>
      <c r="J47" s="139">
        <f>J49-J46</f>
        <v>29</v>
      </c>
      <c r="K47" s="139">
        <f>K49-K46</f>
        <v>29</v>
      </c>
      <c r="L47" s="237"/>
      <c r="M47" s="275">
        <f t="shared" si="3"/>
        <v>0</v>
      </c>
      <c r="N47" s="226">
        <f t="shared" si="0"/>
        <v>1</v>
      </c>
      <c r="O47" s="136"/>
    </row>
    <row r="48" spans="1:15" s="137" customFormat="1" ht="8.4499999999999993" customHeight="1" x14ac:dyDescent="0.2">
      <c r="A48" s="235"/>
      <c r="B48" s="138"/>
      <c r="C48" s="133"/>
      <c r="D48" s="138"/>
      <c r="E48" s="138"/>
      <c r="F48" s="237"/>
      <c r="G48" s="660"/>
      <c r="H48" s="97"/>
      <c r="I48" s="138"/>
      <c r="J48" s="138"/>
      <c r="K48" s="138"/>
      <c r="L48" s="237"/>
      <c r="M48" s="275"/>
      <c r="N48" s="238"/>
      <c r="O48" s="136"/>
    </row>
    <row r="49" spans="1:25" s="137" customFormat="1" ht="12.75" customHeight="1" x14ac:dyDescent="0.2">
      <c r="A49" s="279" t="s">
        <v>226</v>
      </c>
      <c r="B49" s="134">
        <v>53264</v>
      </c>
      <c r="C49" s="133"/>
      <c r="D49" s="134">
        <v>53523</v>
      </c>
      <c r="E49" s="134">
        <v>54623</v>
      </c>
      <c r="F49" s="236"/>
      <c r="G49" s="661">
        <f>E49-D49</f>
        <v>1100</v>
      </c>
      <c r="H49" s="97">
        <f t="shared" si="2"/>
        <v>1359</v>
      </c>
      <c r="I49" s="135"/>
      <c r="J49" s="134">
        <v>53829</v>
      </c>
      <c r="K49" s="134">
        <v>53829</v>
      </c>
      <c r="L49" s="236"/>
      <c r="M49" s="275">
        <f>K49-J49</f>
        <v>0</v>
      </c>
      <c r="N49" s="226">
        <f>K49-E49</f>
        <v>-794</v>
      </c>
      <c r="O49" s="280"/>
    </row>
    <row r="50" spans="1:25" s="137" customFormat="1" ht="12.75" customHeight="1" x14ac:dyDescent="0.2">
      <c r="A50" s="235"/>
      <c r="B50" s="134"/>
      <c r="C50" s="133"/>
      <c r="D50" s="134"/>
      <c r="E50" s="134"/>
      <c r="F50" s="236"/>
      <c r="G50" s="657"/>
      <c r="H50" s="225"/>
      <c r="I50" s="135"/>
      <c r="J50" s="134"/>
      <c r="K50" s="134"/>
      <c r="L50" s="236"/>
      <c r="M50" s="275"/>
      <c r="N50" s="226"/>
      <c r="O50" s="136"/>
    </row>
    <row r="51" spans="1:25" s="137" customFormat="1" ht="12.75" customHeight="1" x14ac:dyDescent="0.2">
      <c r="A51" s="235" t="s">
        <v>227</v>
      </c>
      <c r="B51" s="140">
        <f>B43/B49</f>
        <v>4.4251276659657557E-2</v>
      </c>
      <c r="C51" s="133"/>
      <c r="D51" s="140">
        <f>D43/D49</f>
        <v>5.7451936550641777E-2</v>
      </c>
      <c r="E51" s="140">
        <f>E43/E49</f>
        <v>5.675264998260806E-2</v>
      </c>
      <c r="F51" s="239"/>
      <c r="G51" s="657"/>
      <c r="H51" s="578"/>
      <c r="I51" s="135"/>
      <c r="J51" s="140">
        <f>J43/J49</f>
        <v>5.9447509706663695E-2</v>
      </c>
      <c r="K51" s="140">
        <f>K43/K49</f>
        <v>5.9447509706663695E-2</v>
      </c>
      <c r="L51" s="239"/>
      <c r="M51" s="275">
        <f t="shared" si="3"/>
        <v>0</v>
      </c>
      <c r="N51" s="579"/>
      <c r="O51" s="136"/>
    </row>
    <row r="52" spans="1:25" ht="12.75" customHeight="1" thickBot="1" x14ac:dyDescent="0.25">
      <c r="A52" s="227"/>
      <c r="B52" s="240"/>
      <c r="C52" s="241"/>
      <c r="D52" s="240"/>
      <c r="E52" s="240"/>
      <c r="F52" s="242"/>
      <c r="G52" s="662"/>
      <c r="H52" s="228"/>
      <c r="I52" s="243"/>
      <c r="J52" s="240"/>
      <c r="K52" s="240"/>
      <c r="L52" s="242"/>
      <c r="M52" s="322"/>
      <c r="N52" s="229"/>
    </row>
    <row r="53" spans="1:25" ht="14.25" customHeight="1" x14ac:dyDescent="0.2">
      <c r="A53" s="116" t="s">
        <v>296</v>
      </c>
      <c r="B53" s="113"/>
      <c r="D53" s="113"/>
      <c r="E53" s="113"/>
      <c r="F53" s="112"/>
      <c r="G53" s="656"/>
      <c r="H53" s="97"/>
      <c r="I53" s="101"/>
      <c r="J53" s="113"/>
      <c r="K53" s="113"/>
      <c r="L53" s="112"/>
      <c r="M53" s="321"/>
      <c r="N53" s="97"/>
    </row>
    <row r="54" spans="1:25" ht="12" customHeight="1" x14ac:dyDescent="0.2">
      <c r="A54" s="116" t="s">
        <v>494</v>
      </c>
      <c r="B54" s="115"/>
      <c r="D54" s="115"/>
      <c r="E54" s="115"/>
      <c r="F54" s="112"/>
      <c r="G54" s="656"/>
      <c r="H54" s="97"/>
      <c r="I54" s="101"/>
      <c r="J54" s="115"/>
      <c r="K54" s="115"/>
      <c r="L54" s="112"/>
      <c r="M54" s="321"/>
      <c r="N54" s="97"/>
    </row>
    <row r="55" spans="1:25" s="67" customFormat="1" x14ac:dyDescent="0.2">
      <c r="A55" s="116" t="s">
        <v>337</v>
      </c>
      <c r="B55" s="97"/>
      <c r="C55" s="97"/>
      <c r="D55" s="97"/>
      <c r="E55" s="97"/>
      <c r="F55" s="97"/>
      <c r="G55" s="656"/>
      <c r="H55" s="102"/>
      <c r="I55" s="97"/>
      <c r="J55" s="97"/>
      <c r="K55" s="97"/>
      <c r="L55" s="97"/>
      <c r="M55" s="321"/>
      <c r="N55" s="102"/>
      <c r="Y55" s="68"/>
    </row>
    <row r="56" spans="1:25" ht="12" customHeight="1" x14ac:dyDescent="0.2">
      <c r="A56" s="6" t="s">
        <v>483</v>
      </c>
      <c r="B56" s="113"/>
      <c r="D56" s="113"/>
      <c r="E56" s="113"/>
      <c r="F56" s="112"/>
      <c r="G56" s="656"/>
      <c r="H56" s="97"/>
      <c r="I56" s="101"/>
      <c r="J56" s="113"/>
      <c r="K56" s="113"/>
      <c r="L56" s="112"/>
      <c r="M56" s="321"/>
      <c r="N56" s="97"/>
    </row>
    <row r="57" spans="1:25" ht="12.75" x14ac:dyDescent="0.2">
      <c r="B57" s="111"/>
      <c r="D57" s="111"/>
      <c r="E57" s="111"/>
      <c r="F57" s="96"/>
      <c r="G57" s="656"/>
      <c r="H57" s="67"/>
      <c r="I57" s="99"/>
      <c r="J57" s="111"/>
      <c r="K57" s="111"/>
      <c r="L57" s="96"/>
      <c r="M57" s="321"/>
      <c r="N57" s="67"/>
    </row>
    <row r="58" spans="1:25" ht="12.75" x14ac:dyDescent="0.2">
      <c r="B58" s="110"/>
      <c r="D58" s="110"/>
      <c r="E58" s="110"/>
      <c r="F58" s="96"/>
      <c r="G58" s="656"/>
      <c r="H58" s="67"/>
      <c r="I58" s="99"/>
      <c r="J58" s="110"/>
      <c r="K58" s="110"/>
      <c r="L58" s="96"/>
      <c r="M58" s="321"/>
      <c r="N58" s="67"/>
    </row>
    <row r="59" spans="1:25" ht="12.75" x14ac:dyDescent="0.2">
      <c r="B59" s="110"/>
      <c r="D59" s="110"/>
      <c r="E59" s="110"/>
      <c r="F59" s="96"/>
      <c r="G59" s="656"/>
      <c r="H59" s="67"/>
      <c r="I59" s="99"/>
      <c r="J59" s="110"/>
      <c r="K59" s="110"/>
      <c r="L59" s="96"/>
      <c r="M59" s="321"/>
      <c r="N59" s="67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71" transitionEvaluation="1" transitionEntry="1" codeName="Sheet15"/>
  <dimension ref="A1:AB181"/>
  <sheetViews>
    <sheetView showGridLines="0" tabSelected="1" zoomScale="120" zoomScaleNormal="120" workbookViewId="0">
      <pane xSplit="1" ySplit="4" topLeftCell="B71" activePane="bottomRight" state="frozen"/>
      <selection pane="topRight" activeCell="B1" sqref="B1"/>
      <selection pane="bottomLeft" activeCell="A5" sqref="A5"/>
      <selection pane="bottomRight" activeCell="A86" sqref="A86"/>
    </sheetView>
  </sheetViews>
  <sheetFormatPr defaultColWidth="8.625" defaultRowHeight="12" x14ac:dyDescent="0.2"/>
  <cols>
    <col min="1" max="1" width="20.75" style="67" customWidth="1"/>
    <col min="2" max="2" width="9.875" style="97" customWidth="1"/>
    <col min="3" max="3" width="1.625" style="97" customWidth="1"/>
    <col min="4" max="4" width="10.5" style="678" customWidth="1"/>
    <col min="5" max="5" width="1.875" style="101" customWidth="1"/>
    <col min="6" max="6" width="10.5" style="678" customWidth="1"/>
    <col min="7" max="7" width="1.625" style="101" customWidth="1"/>
    <col min="8" max="8" width="10.25" style="97" customWidth="1"/>
    <col min="9" max="9" width="10" style="97" customWidth="1"/>
    <col min="10" max="10" width="10.5" style="678" customWidth="1"/>
    <col min="11" max="11" width="1.875" style="101" customWidth="1"/>
    <col min="12" max="12" width="10.5" style="678" customWidth="1"/>
    <col min="13" max="13" width="1.625" style="101" customWidth="1"/>
    <col min="14" max="14" width="10.25" style="97" customWidth="1"/>
    <col min="15" max="15" width="10.5" style="97" customWidth="1"/>
    <col min="16" max="22" width="9.625" style="67" customWidth="1"/>
    <col min="23" max="23" width="12.625" style="67" customWidth="1"/>
    <col min="24" max="16384" width="8.625" style="67"/>
  </cols>
  <sheetData>
    <row r="1" spans="1:23" ht="15.75" customHeight="1" x14ac:dyDescent="0.2">
      <c r="A1" s="211" t="s">
        <v>357</v>
      </c>
      <c r="B1" s="664"/>
      <c r="C1" s="664"/>
      <c r="D1" s="651"/>
      <c r="E1" s="664"/>
      <c r="F1" s="651"/>
      <c r="G1" s="664"/>
      <c r="H1" s="664"/>
      <c r="I1" s="664"/>
      <c r="J1" s="651"/>
      <c r="K1" s="664"/>
      <c r="L1" s="651"/>
      <c r="M1" s="664"/>
      <c r="N1" s="664"/>
      <c r="O1" s="665"/>
      <c r="W1" s="68"/>
    </row>
    <row r="2" spans="1:23" ht="15" customHeight="1" x14ac:dyDescent="0.2">
      <c r="A2" s="215"/>
      <c r="B2" s="666"/>
      <c r="C2" s="667"/>
      <c r="D2" s="668"/>
      <c r="E2" s="669"/>
      <c r="F2" s="668"/>
      <c r="G2" s="669" t="s">
        <v>394</v>
      </c>
      <c r="H2" s="670"/>
      <c r="I2" s="670"/>
      <c r="J2" s="668"/>
      <c r="K2" s="669"/>
      <c r="L2" s="668"/>
      <c r="M2" s="669" t="s">
        <v>473</v>
      </c>
      <c r="N2" s="670"/>
      <c r="O2" s="671"/>
      <c r="W2" s="70"/>
    </row>
    <row r="3" spans="1:23" ht="12.75" customHeight="1" x14ac:dyDescent="0.2">
      <c r="A3" s="215"/>
      <c r="B3" s="672"/>
      <c r="C3" s="672"/>
      <c r="D3" s="673" t="s">
        <v>62</v>
      </c>
      <c r="E3" s="674"/>
      <c r="F3" s="673" t="s">
        <v>56</v>
      </c>
      <c r="G3" s="674"/>
      <c r="H3" s="674" t="s">
        <v>171</v>
      </c>
      <c r="I3" s="674" t="s">
        <v>172</v>
      </c>
      <c r="J3" s="673" t="s">
        <v>62</v>
      </c>
      <c r="K3" s="674"/>
      <c r="L3" s="673" t="s">
        <v>56</v>
      </c>
      <c r="M3" s="674"/>
      <c r="N3" s="674" t="s">
        <v>171</v>
      </c>
      <c r="O3" s="675" t="s">
        <v>172</v>
      </c>
      <c r="W3" s="70"/>
    </row>
    <row r="4" spans="1:23" s="96" customFormat="1" ht="13.5" customHeight="1" thickBot="1" x14ac:dyDescent="0.25">
      <c r="A4" s="326" t="s">
        <v>492</v>
      </c>
      <c r="B4" s="319">
        <v>2023</v>
      </c>
      <c r="C4" s="672"/>
      <c r="D4" s="710">
        <v>2024</v>
      </c>
      <c r="E4" s="319"/>
      <c r="F4" s="710">
        <v>2024</v>
      </c>
      <c r="G4" s="674"/>
      <c r="H4" s="674" t="s">
        <v>173</v>
      </c>
      <c r="I4" s="674" t="s">
        <v>174</v>
      </c>
      <c r="J4" s="710">
        <v>2024</v>
      </c>
      <c r="K4" s="319"/>
      <c r="L4" s="710">
        <v>2024</v>
      </c>
      <c r="M4" s="674"/>
      <c r="N4" s="674" t="s">
        <v>173</v>
      </c>
      <c r="O4" s="675" t="s">
        <v>174</v>
      </c>
    </row>
    <row r="5" spans="1:23" ht="12.75" customHeight="1" x14ac:dyDescent="0.2">
      <c r="A5" s="327"/>
      <c r="B5" s="328"/>
      <c r="C5" s="329"/>
      <c r="D5" s="676"/>
      <c r="E5" s="330"/>
      <c r="F5" s="676"/>
      <c r="G5" s="330"/>
      <c r="H5" s="677" t="s">
        <v>395</v>
      </c>
      <c r="I5" s="329"/>
      <c r="J5" s="676"/>
      <c r="K5" s="330"/>
      <c r="L5" s="676"/>
      <c r="M5" s="330"/>
      <c r="N5" s="677"/>
      <c r="O5" s="331"/>
      <c r="V5" s="68"/>
    </row>
    <row r="6" spans="1:23" ht="11.45" customHeight="1" x14ac:dyDescent="0.2">
      <c r="A6" s="244"/>
      <c r="O6" s="224"/>
      <c r="V6" s="68"/>
    </row>
    <row r="7" spans="1:23" ht="14.25" customHeight="1" x14ac:dyDescent="0.2">
      <c r="A7" s="244" t="s">
        <v>175</v>
      </c>
      <c r="B7" s="679">
        <v>534</v>
      </c>
      <c r="D7" s="679">
        <v>510</v>
      </c>
      <c r="E7" s="98"/>
      <c r="F7" s="679">
        <v>510</v>
      </c>
      <c r="G7" s="98"/>
      <c r="H7" s="680">
        <f>F7-D7</f>
        <v>0</v>
      </c>
      <c r="I7" s="97">
        <f>F7-B7</f>
        <v>-24</v>
      </c>
      <c r="J7" s="679">
        <v>525</v>
      </c>
      <c r="K7" s="98"/>
      <c r="L7" s="679">
        <v>525</v>
      </c>
      <c r="M7" s="98"/>
      <c r="N7" s="680">
        <f>L7-J7</f>
        <v>0</v>
      </c>
      <c r="O7" s="224">
        <f>L7-F7</f>
        <v>15</v>
      </c>
      <c r="P7" s="157"/>
      <c r="V7" s="68"/>
    </row>
    <row r="8" spans="1:23" ht="14.25" customHeight="1" x14ac:dyDescent="0.2">
      <c r="A8" s="244" t="s">
        <v>428</v>
      </c>
      <c r="B8" s="679">
        <v>225</v>
      </c>
      <c r="D8" s="679">
        <v>275</v>
      </c>
      <c r="E8" s="98"/>
      <c r="F8" s="679">
        <v>275</v>
      </c>
      <c r="G8" s="98"/>
      <c r="H8" s="680">
        <f t="shared" ref="H8" si="0">F8-D8</f>
        <v>0</v>
      </c>
      <c r="I8" s="112">
        <f t="shared" ref="I8" si="1">F8-B8</f>
        <v>50</v>
      </c>
      <c r="J8" s="679">
        <v>300</v>
      </c>
      <c r="K8" s="98"/>
      <c r="L8" s="679">
        <v>300</v>
      </c>
      <c r="M8" s="98"/>
      <c r="N8" s="680">
        <f t="shared" ref="N8:N71" si="2">L8-J8</f>
        <v>0</v>
      </c>
      <c r="O8" s="245">
        <f>L8-F8</f>
        <v>25</v>
      </c>
      <c r="P8" s="157"/>
      <c r="V8" s="68"/>
    </row>
    <row r="9" spans="1:23" ht="12" customHeight="1" x14ac:dyDescent="0.2">
      <c r="A9" s="244" t="s">
        <v>294</v>
      </c>
      <c r="B9" s="679">
        <v>325</v>
      </c>
      <c r="D9" s="679">
        <v>400</v>
      </c>
      <c r="E9" s="98"/>
      <c r="F9" s="679">
        <v>400</v>
      </c>
      <c r="G9" s="98"/>
      <c r="H9" s="680">
        <f t="shared" ref="H9:H77" si="3">F9-D9</f>
        <v>0</v>
      </c>
      <c r="I9" s="112">
        <f t="shared" ref="I9:I75" si="4">F9-B9</f>
        <v>75</v>
      </c>
      <c r="J9" s="679">
        <v>450</v>
      </c>
      <c r="K9" s="98"/>
      <c r="L9" s="679">
        <v>450</v>
      </c>
      <c r="M9" s="98"/>
      <c r="N9" s="680">
        <f t="shared" si="2"/>
        <v>0</v>
      </c>
      <c r="O9" s="245">
        <f t="shared" ref="O9:O75" si="5">L9-F9</f>
        <v>50</v>
      </c>
      <c r="P9" s="157"/>
      <c r="V9" s="68"/>
    </row>
    <row r="10" spans="1:23" ht="12.95" customHeight="1" x14ac:dyDescent="0.2">
      <c r="A10" s="244" t="s">
        <v>177</v>
      </c>
      <c r="B10" s="679">
        <v>221</v>
      </c>
      <c r="C10" s="112"/>
      <c r="D10" s="679">
        <v>220</v>
      </c>
      <c r="E10" s="98"/>
      <c r="F10" s="679">
        <v>220</v>
      </c>
      <c r="G10" s="98"/>
      <c r="H10" s="680">
        <f t="shared" si="3"/>
        <v>0</v>
      </c>
      <c r="I10" s="112">
        <f t="shared" si="4"/>
        <v>-1</v>
      </c>
      <c r="J10" s="679">
        <v>225</v>
      </c>
      <c r="K10" s="98"/>
      <c r="L10" s="679">
        <v>225</v>
      </c>
      <c r="M10" s="98"/>
      <c r="N10" s="680">
        <f t="shared" si="2"/>
        <v>0</v>
      </c>
      <c r="O10" s="245">
        <f t="shared" si="5"/>
        <v>5</v>
      </c>
      <c r="P10" s="157"/>
      <c r="V10" s="68"/>
    </row>
    <row r="11" spans="1:23" ht="12.75" customHeight="1" x14ac:dyDescent="0.2">
      <c r="A11" s="246" t="s">
        <v>178</v>
      </c>
      <c r="B11" s="679">
        <v>365</v>
      </c>
      <c r="D11" s="679">
        <v>100</v>
      </c>
      <c r="E11" s="98"/>
      <c r="F11" s="679">
        <v>100</v>
      </c>
      <c r="G11" s="98"/>
      <c r="H11" s="680">
        <f t="shared" si="3"/>
        <v>0</v>
      </c>
      <c r="I11" s="97">
        <f t="shared" si="4"/>
        <v>-265</v>
      </c>
      <c r="J11" s="679">
        <v>500</v>
      </c>
      <c r="K11" s="98"/>
      <c r="L11" s="679">
        <v>500</v>
      </c>
      <c r="M11" s="98"/>
      <c r="N11" s="680">
        <f t="shared" si="2"/>
        <v>0</v>
      </c>
      <c r="O11" s="224">
        <f t="shared" si="5"/>
        <v>400</v>
      </c>
      <c r="P11" s="157"/>
      <c r="V11" s="68"/>
    </row>
    <row r="12" spans="1:23" ht="12.75" customHeight="1" x14ac:dyDescent="0.2">
      <c r="A12" s="246" t="s">
        <v>278</v>
      </c>
      <c r="B12" s="679">
        <v>450</v>
      </c>
      <c r="D12" s="679">
        <v>475</v>
      </c>
      <c r="E12" s="98"/>
      <c r="F12" s="679">
        <v>450</v>
      </c>
      <c r="G12" s="98"/>
      <c r="H12" s="680">
        <f t="shared" si="3"/>
        <v>-25</v>
      </c>
      <c r="I12" s="97">
        <f t="shared" si="4"/>
        <v>0</v>
      </c>
      <c r="J12" s="679">
        <v>500</v>
      </c>
      <c r="K12" s="98"/>
      <c r="L12" s="679">
        <v>450</v>
      </c>
      <c r="M12" s="98"/>
      <c r="N12" s="680">
        <f t="shared" si="2"/>
        <v>-50</v>
      </c>
      <c r="O12" s="224">
        <f t="shared" si="5"/>
        <v>0</v>
      </c>
      <c r="P12" s="157"/>
      <c r="V12" s="68"/>
    </row>
    <row r="13" spans="1:23" ht="12.75" customHeight="1" x14ac:dyDescent="0.2">
      <c r="A13" s="246" t="s">
        <v>179</v>
      </c>
      <c r="B13" s="679">
        <v>983</v>
      </c>
      <c r="D13" s="679">
        <v>1200</v>
      </c>
      <c r="E13" s="98"/>
      <c r="F13" s="679">
        <v>1300</v>
      </c>
      <c r="G13" s="98"/>
      <c r="H13" s="680">
        <f t="shared" si="3"/>
        <v>100</v>
      </c>
      <c r="I13" s="97">
        <f t="shared" si="4"/>
        <v>317</v>
      </c>
      <c r="J13" s="679">
        <v>1100</v>
      </c>
      <c r="K13" s="98"/>
      <c r="L13" s="679">
        <v>1050</v>
      </c>
      <c r="M13" s="98"/>
      <c r="N13" s="680">
        <f t="shared" si="2"/>
        <v>-50</v>
      </c>
      <c r="O13" s="224">
        <f t="shared" si="5"/>
        <v>-250</v>
      </c>
      <c r="P13" s="157"/>
      <c r="V13" s="68"/>
    </row>
    <row r="14" spans="1:23" ht="12.75" customHeight="1" x14ac:dyDescent="0.2">
      <c r="A14" s="246" t="s">
        <v>279</v>
      </c>
      <c r="B14" s="679">
        <v>767</v>
      </c>
      <c r="D14" s="679">
        <v>850</v>
      </c>
      <c r="E14" s="98"/>
      <c r="F14" s="679">
        <v>850</v>
      </c>
      <c r="G14" s="98"/>
      <c r="H14" s="680">
        <f t="shared" si="3"/>
        <v>0</v>
      </c>
      <c r="I14" s="97">
        <f t="shared" si="4"/>
        <v>83</v>
      </c>
      <c r="J14" s="679">
        <v>850</v>
      </c>
      <c r="K14" s="98"/>
      <c r="L14" s="679">
        <v>850</v>
      </c>
      <c r="M14" s="98"/>
      <c r="N14" s="680">
        <f t="shared" si="2"/>
        <v>0</v>
      </c>
      <c r="O14" s="224">
        <f t="shared" si="5"/>
        <v>0</v>
      </c>
      <c r="P14" s="157"/>
      <c r="V14" s="68"/>
    </row>
    <row r="15" spans="1:23" ht="12.75" customHeight="1" x14ac:dyDescent="0.2">
      <c r="A15" s="246" t="s">
        <v>271</v>
      </c>
      <c r="B15" s="679">
        <v>470</v>
      </c>
      <c r="D15" s="679">
        <v>550</v>
      </c>
      <c r="E15" s="98"/>
      <c r="F15" s="679">
        <v>550</v>
      </c>
      <c r="G15" s="98"/>
      <c r="H15" s="680">
        <f t="shared" si="3"/>
        <v>0</v>
      </c>
      <c r="I15" s="97">
        <f t="shared" si="4"/>
        <v>80</v>
      </c>
      <c r="J15" s="679">
        <v>550</v>
      </c>
      <c r="K15" s="98"/>
      <c r="L15" s="679">
        <v>550</v>
      </c>
      <c r="M15" s="98"/>
      <c r="N15" s="680">
        <f t="shared" si="2"/>
        <v>0</v>
      </c>
      <c r="O15" s="224">
        <f t="shared" si="5"/>
        <v>0</v>
      </c>
      <c r="P15" s="157"/>
      <c r="V15" s="68"/>
    </row>
    <row r="16" spans="1:23" ht="12.75" customHeight="1" x14ac:dyDescent="0.2">
      <c r="A16" s="246" t="s">
        <v>246</v>
      </c>
      <c r="B16" s="679">
        <v>472</v>
      </c>
      <c r="D16" s="679">
        <v>450</v>
      </c>
      <c r="E16" s="98"/>
      <c r="F16" s="679">
        <v>450</v>
      </c>
      <c r="G16" s="98"/>
      <c r="H16" s="680">
        <f t="shared" si="3"/>
        <v>0</v>
      </c>
      <c r="I16" s="97">
        <f t="shared" si="4"/>
        <v>-22</v>
      </c>
      <c r="J16" s="679">
        <v>475</v>
      </c>
      <c r="K16" s="98"/>
      <c r="L16" s="679">
        <v>475</v>
      </c>
      <c r="M16" s="98"/>
      <c r="N16" s="680">
        <f t="shared" si="2"/>
        <v>0</v>
      </c>
      <c r="O16" s="224">
        <f t="shared" si="5"/>
        <v>25</v>
      </c>
      <c r="P16" s="157"/>
      <c r="V16" s="68"/>
    </row>
    <row r="17" spans="1:22" ht="12.75" customHeight="1" x14ac:dyDescent="0.2">
      <c r="A17" s="246" t="s">
        <v>443</v>
      </c>
      <c r="B17" s="679">
        <v>206</v>
      </c>
      <c r="D17" s="679">
        <v>190</v>
      </c>
      <c r="E17" s="98"/>
      <c r="F17" s="679">
        <v>190</v>
      </c>
      <c r="G17" s="98"/>
      <c r="H17" s="680">
        <f t="shared" ref="H17" si="6">F17-D17</f>
        <v>0</v>
      </c>
      <c r="I17" s="97">
        <f t="shared" ref="I17" si="7">F17-B17</f>
        <v>-16</v>
      </c>
      <c r="J17" s="679">
        <v>180</v>
      </c>
      <c r="K17" s="98"/>
      <c r="L17" s="679">
        <v>180</v>
      </c>
      <c r="M17" s="98"/>
      <c r="N17" s="680">
        <f t="shared" si="2"/>
        <v>0</v>
      </c>
      <c r="O17" s="224">
        <f t="shared" ref="O17" si="8">L17-F17</f>
        <v>-10</v>
      </c>
      <c r="P17" s="157"/>
      <c r="V17" s="68"/>
    </row>
    <row r="18" spans="1:22" ht="12.75" customHeight="1" x14ac:dyDescent="0.2">
      <c r="A18" s="246" t="s">
        <v>182</v>
      </c>
      <c r="B18" s="679">
        <v>2597</v>
      </c>
      <c r="D18" s="679">
        <v>1700</v>
      </c>
      <c r="E18" s="98"/>
      <c r="F18" s="679">
        <v>1700</v>
      </c>
      <c r="G18" s="98"/>
      <c r="H18" s="680">
        <f t="shared" si="3"/>
        <v>0</v>
      </c>
      <c r="I18" s="97">
        <f t="shared" si="4"/>
        <v>-897</v>
      </c>
      <c r="J18" s="679">
        <v>1500</v>
      </c>
      <c r="K18" s="98"/>
      <c r="L18" s="679">
        <v>1500</v>
      </c>
      <c r="M18" s="98"/>
      <c r="N18" s="680">
        <f t="shared" si="2"/>
        <v>0</v>
      </c>
      <c r="O18" s="224">
        <f t="shared" si="5"/>
        <v>-200</v>
      </c>
      <c r="P18" s="157"/>
      <c r="V18" s="68"/>
    </row>
    <row r="19" spans="1:22" ht="12.75" customHeight="1" x14ac:dyDescent="0.2">
      <c r="A19" s="246" t="s">
        <v>183</v>
      </c>
      <c r="B19" s="679">
        <v>124</v>
      </c>
      <c r="D19" s="679">
        <v>180</v>
      </c>
      <c r="E19" s="98"/>
      <c r="F19" s="679">
        <v>180</v>
      </c>
      <c r="G19" s="98"/>
      <c r="H19" s="680">
        <f t="shared" si="3"/>
        <v>0</v>
      </c>
      <c r="I19" s="97">
        <f t="shared" si="4"/>
        <v>56</v>
      </c>
      <c r="J19" s="679">
        <v>180</v>
      </c>
      <c r="K19" s="98"/>
      <c r="L19" s="679">
        <v>180</v>
      </c>
      <c r="M19" s="98"/>
      <c r="N19" s="680">
        <f t="shared" si="2"/>
        <v>0</v>
      </c>
      <c r="O19" s="224">
        <f t="shared" si="5"/>
        <v>0</v>
      </c>
      <c r="P19" s="157"/>
      <c r="V19" s="68"/>
    </row>
    <row r="20" spans="1:22" ht="12.75" customHeight="1" x14ac:dyDescent="0.2">
      <c r="A20" s="246" t="s">
        <v>334</v>
      </c>
      <c r="B20" s="679">
        <v>195</v>
      </c>
      <c r="D20" s="679">
        <v>250</v>
      </c>
      <c r="E20" s="98"/>
      <c r="F20" s="679">
        <v>250</v>
      </c>
      <c r="G20" s="98"/>
      <c r="H20" s="680">
        <f t="shared" si="3"/>
        <v>0</v>
      </c>
      <c r="I20" s="97">
        <f t="shared" si="4"/>
        <v>55</v>
      </c>
      <c r="J20" s="679">
        <v>250</v>
      </c>
      <c r="K20" s="98"/>
      <c r="L20" s="679">
        <v>250</v>
      </c>
      <c r="M20" s="98"/>
      <c r="N20" s="680">
        <f t="shared" si="2"/>
        <v>0</v>
      </c>
      <c r="O20" s="224">
        <f t="shared" si="5"/>
        <v>0</v>
      </c>
      <c r="P20" s="157"/>
      <c r="V20" s="68"/>
    </row>
    <row r="21" spans="1:22" ht="12.75" customHeight="1" x14ac:dyDescent="0.2">
      <c r="A21" s="246" t="s">
        <v>288</v>
      </c>
      <c r="B21" s="679">
        <v>222</v>
      </c>
      <c r="D21" s="679">
        <v>200</v>
      </c>
      <c r="E21" s="98"/>
      <c r="F21" s="679">
        <v>200</v>
      </c>
      <c r="G21" s="98"/>
      <c r="H21" s="680">
        <f t="shared" si="3"/>
        <v>0</v>
      </c>
      <c r="I21" s="97">
        <f t="shared" si="4"/>
        <v>-22</v>
      </c>
      <c r="J21" s="679">
        <v>225</v>
      </c>
      <c r="K21" s="98"/>
      <c r="L21" s="679">
        <v>225</v>
      </c>
      <c r="M21" s="98"/>
      <c r="N21" s="680">
        <f t="shared" si="2"/>
        <v>0</v>
      </c>
      <c r="O21" s="224">
        <f t="shared" si="5"/>
        <v>25</v>
      </c>
      <c r="P21" s="157"/>
      <c r="V21" s="68"/>
    </row>
    <row r="22" spans="1:22" ht="12.75" customHeight="1" x14ac:dyDescent="0.2">
      <c r="A22" s="244" t="s">
        <v>184</v>
      </c>
      <c r="B22" s="679">
        <v>1313</v>
      </c>
      <c r="D22" s="679">
        <v>1350</v>
      </c>
      <c r="E22" s="98"/>
      <c r="F22" s="679">
        <v>1350</v>
      </c>
      <c r="G22" s="98"/>
      <c r="H22" s="680">
        <f t="shared" si="3"/>
        <v>0</v>
      </c>
      <c r="I22" s="97">
        <f t="shared" si="4"/>
        <v>37</v>
      </c>
      <c r="J22" s="679">
        <v>1350</v>
      </c>
      <c r="K22" s="98"/>
      <c r="L22" s="679">
        <v>1350</v>
      </c>
      <c r="M22" s="98"/>
      <c r="N22" s="680">
        <f t="shared" si="2"/>
        <v>0</v>
      </c>
      <c r="O22" s="224">
        <f t="shared" si="5"/>
        <v>0</v>
      </c>
      <c r="P22" s="157"/>
    </row>
    <row r="23" spans="1:22" ht="12.75" customHeight="1" x14ac:dyDescent="0.2">
      <c r="A23" s="244" t="s">
        <v>185</v>
      </c>
      <c r="B23" s="679">
        <v>345</v>
      </c>
      <c r="D23" s="679">
        <v>385</v>
      </c>
      <c r="E23" s="98"/>
      <c r="F23" s="679">
        <v>385</v>
      </c>
      <c r="G23" s="98"/>
      <c r="H23" s="680">
        <f t="shared" si="3"/>
        <v>0</v>
      </c>
      <c r="I23" s="97">
        <f t="shared" si="4"/>
        <v>40</v>
      </c>
      <c r="J23" s="679">
        <v>375</v>
      </c>
      <c r="K23" s="98"/>
      <c r="L23" s="679">
        <v>375</v>
      </c>
      <c r="M23" s="98"/>
      <c r="N23" s="680">
        <f t="shared" si="2"/>
        <v>0</v>
      </c>
      <c r="O23" s="224">
        <f t="shared" si="5"/>
        <v>-10</v>
      </c>
      <c r="P23" s="157"/>
    </row>
    <row r="24" spans="1:22" x14ac:dyDescent="0.2">
      <c r="A24" s="244" t="s">
        <v>187</v>
      </c>
      <c r="B24" s="679">
        <v>343</v>
      </c>
      <c r="D24" s="679">
        <v>350</v>
      </c>
      <c r="E24" s="98"/>
      <c r="F24" s="679">
        <v>350</v>
      </c>
      <c r="G24" s="98"/>
      <c r="H24" s="680">
        <f t="shared" si="3"/>
        <v>0</v>
      </c>
      <c r="I24" s="97">
        <f t="shared" si="4"/>
        <v>7</v>
      </c>
      <c r="J24" s="679">
        <v>400</v>
      </c>
      <c r="K24" s="98"/>
      <c r="L24" s="679">
        <v>400</v>
      </c>
      <c r="M24" s="98"/>
      <c r="N24" s="680">
        <f t="shared" si="2"/>
        <v>0</v>
      </c>
      <c r="O24" s="224">
        <f t="shared" si="5"/>
        <v>50</v>
      </c>
      <c r="P24" s="157"/>
    </row>
    <row r="25" spans="1:22" x14ac:dyDescent="0.2">
      <c r="A25" s="244" t="s">
        <v>444</v>
      </c>
      <c r="B25" s="679">
        <v>86</v>
      </c>
      <c r="D25" s="679">
        <v>80</v>
      </c>
      <c r="E25" s="98"/>
      <c r="F25" s="679">
        <v>100</v>
      </c>
      <c r="G25" s="98"/>
      <c r="H25" s="680">
        <f t="shared" ref="H25" si="9">F25-D25</f>
        <v>20</v>
      </c>
      <c r="I25" s="97">
        <f t="shared" ref="I25" si="10">F25-B25</f>
        <v>14</v>
      </c>
      <c r="J25" s="679">
        <v>85</v>
      </c>
      <c r="K25" s="98"/>
      <c r="L25" s="679">
        <v>100</v>
      </c>
      <c r="M25" s="98"/>
      <c r="N25" s="680">
        <f t="shared" si="2"/>
        <v>15</v>
      </c>
      <c r="O25" s="224">
        <f t="shared" ref="O25" si="11">L25-F25</f>
        <v>0</v>
      </c>
      <c r="P25" s="157"/>
    </row>
    <row r="26" spans="1:22" ht="12.75" customHeight="1" x14ac:dyDescent="0.2">
      <c r="A26" s="244" t="s">
        <v>266</v>
      </c>
      <c r="B26" s="679">
        <v>440</v>
      </c>
      <c r="D26" s="679">
        <v>550</v>
      </c>
      <c r="E26" s="98"/>
      <c r="F26" s="679">
        <v>550</v>
      </c>
      <c r="G26" s="98"/>
      <c r="H26" s="680">
        <f t="shared" si="3"/>
        <v>0</v>
      </c>
      <c r="I26" s="97">
        <f t="shared" si="4"/>
        <v>110</v>
      </c>
      <c r="J26" s="679">
        <v>550</v>
      </c>
      <c r="K26" s="98"/>
      <c r="L26" s="679">
        <v>550</v>
      </c>
      <c r="M26" s="98"/>
      <c r="N26" s="680">
        <f t="shared" si="2"/>
        <v>0</v>
      </c>
      <c r="O26" s="224">
        <f t="shared" si="5"/>
        <v>0</v>
      </c>
      <c r="P26" s="157"/>
    </row>
    <row r="27" spans="1:22" ht="12.75" customHeight="1" x14ac:dyDescent="0.2">
      <c r="A27" s="244" t="s">
        <v>188</v>
      </c>
      <c r="B27" s="679">
        <v>2171</v>
      </c>
      <c r="D27" s="679">
        <v>2200</v>
      </c>
      <c r="E27" s="98"/>
      <c r="F27" s="679">
        <v>2200</v>
      </c>
      <c r="G27" s="98"/>
      <c r="H27" s="680">
        <f t="shared" si="3"/>
        <v>0</v>
      </c>
      <c r="I27" s="97">
        <f t="shared" si="4"/>
        <v>29</v>
      </c>
      <c r="J27" s="679">
        <v>2200</v>
      </c>
      <c r="K27" s="98"/>
      <c r="L27" s="679">
        <v>2200</v>
      </c>
      <c r="M27" s="98"/>
      <c r="N27" s="680">
        <f t="shared" si="2"/>
        <v>0</v>
      </c>
      <c r="O27" s="224">
        <f t="shared" si="5"/>
        <v>0</v>
      </c>
      <c r="P27" s="157"/>
    </row>
    <row r="28" spans="1:22" ht="12.75" customHeight="1" x14ac:dyDescent="0.2">
      <c r="A28" s="244" t="s">
        <v>291</v>
      </c>
      <c r="B28" s="679">
        <v>270</v>
      </c>
      <c r="D28" s="679">
        <v>250</v>
      </c>
      <c r="E28" s="98"/>
      <c r="F28" s="679">
        <v>250</v>
      </c>
      <c r="G28" s="98"/>
      <c r="H28" s="680">
        <f t="shared" si="3"/>
        <v>0</v>
      </c>
      <c r="I28" s="97">
        <f t="shared" si="4"/>
        <v>-20</v>
      </c>
      <c r="J28" s="679">
        <v>250</v>
      </c>
      <c r="K28" s="98"/>
      <c r="L28" s="679">
        <v>250</v>
      </c>
      <c r="M28" s="98"/>
      <c r="N28" s="680">
        <f t="shared" si="2"/>
        <v>0</v>
      </c>
      <c r="O28" s="224">
        <f t="shared" si="5"/>
        <v>0</v>
      </c>
      <c r="P28" s="157"/>
    </row>
    <row r="29" spans="1:22" ht="12.75" customHeight="1" x14ac:dyDescent="0.2">
      <c r="A29" s="244" t="s">
        <v>189</v>
      </c>
      <c r="B29" s="679">
        <v>810</v>
      </c>
      <c r="D29" s="679">
        <v>650</v>
      </c>
      <c r="E29" s="98"/>
      <c r="F29" s="679">
        <v>650</v>
      </c>
      <c r="G29" s="98"/>
      <c r="H29" s="680">
        <f t="shared" si="3"/>
        <v>0</v>
      </c>
      <c r="I29" s="97">
        <f t="shared" si="4"/>
        <v>-160</v>
      </c>
      <c r="J29" s="679">
        <v>650</v>
      </c>
      <c r="K29" s="98"/>
      <c r="L29" s="679">
        <v>650</v>
      </c>
      <c r="M29" s="98"/>
      <c r="N29" s="680">
        <f t="shared" si="2"/>
        <v>0</v>
      </c>
      <c r="O29" s="224">
        <f t="shared" si="5"/>
        <v>0</v>
      </c>
      <c r="P29" s="157"/>
    </row>
    <row r="30" spans="1:22" ht="12.75" customHeight="1" x14ac:dyDescent="0.2">
      <c r="A30" s="244" t="s">
        <v>274</v>
      </c>
      <c r="B30" s="679">
        <v>110</v>
      </c>
      <c r="D30" s="679">
        <v>140</v>
      </c>
      <c r="E30" s="98"/>
      <c r="F30" s="679">
        <v>140</v>
      </c>
      <c r="G30" s="98"/>
      <c r="H30" s="680">
        <f t="shared" si="3"/>
        <v>0</v>
      </c>
      <c r="I30" s="97">
        <f t="shared" si="4"/>
        <v>30</v>
      </c>
      <c r="J30" s="679">
        <v>145</v>
      </c>
      <c r="K30" s="98"/>
      <c r="L30" s="679">
        <v>145</v>
      </c>
      <c r="M30" s="98"/>
      <c r="N30" s="680">
        <f t="shared" si="2"/>
        <v>0</v>
      </c>
      <c r="O30" s="224">
        <f t="shared" si="5"/>
        <v>5</v>
      </c>
      <c r="P30" s="157"/>
    </row>
    <row r="31" spans="1:22" ht="12.75" customHeight="1" x14ac:dyDescent="0.2">
      <c r="A31" s="244" t="s">
        <v>190</v>
      </c>
      <c r="B31" s="679">
        <v>870</v>
      </c>
      <c r="D31" s="679">
        <v>900</v>
      </c>
      <c r="E31" s="98"/>
      <c r="F31" s="679">
        <v>950</v>
      </c>
      <c r="G31" s="98"/>
      <c r="H31" s="680">
        <f t="shared" si="3"/>
        <v>50</v>
      </c>
      <c r="I31" s="97">
        <f t="shared" si="4"/>
        <v>80</v>
      </c>
      <c r="J31" s="679">
        <v>950</v>
      </c>
      <c r="K31" s="98"/>
      <c r="L31" s="679">
        <v>975</v>
      </c>
      <c r="M31" s="98"/>
      <c r="N31" s="680">
        <f t="shared" si="2"/>
        <v>25</v>
      </c>
      <c r="O31" s="224">
        <f t="shared" si="5"/>
        <v>25</v>
      </c>
      <c r="P31" s="157"/>
    </row>
    <row r="32" spans="1:22" ht="12.75" customHeight="1" x14ac:dyDescent="0.2">
      <c r="A32" s="244" t="s">
        <v>445</v>
      </c>
      <c r="B32" s="679">
        <v>120</v>
      </c>
      <c r="D32" s="679">
        <v>100</v>
      </c>
      <c r="E32" s="98"/>
      <c r="F32" s="679">
        <v>100</v>
      </c>
      <c r="G32" s="98"/>
      <c r="H32" s="680">
        <f t="shared" ref="H32" si="12">F32-D32</f>
        <v>0</v>
      </c>
      <c r="I32" s="97">
        <f t="shared" ref="I32" si="13">F32-B32</f>
        <v>-20</v>
      </c>
      <c r="J32" s="679">
        <v>125</v>
      </c>
      <c r="K32" s="98"/>
      <c r="L32" s="679">
        <v>125</v>
      </c>
      <c r="M32" s="98"/>
      <c r="N32" s="680">
        <f t="shared" si="2"/>
        <v>0</v>
      </c>
      <c r="O32" s="224">
        <f t="shared" ref="O32" si="14">L32-F32</f>
        <v>25</v>
      </c>
      <c r="P32" s="157"/>
    </row>
    <row r="33" spans="1:16" ht="12.75" customHeight="1" x14ac:dyDescent="0.2">
      <c r="A33" s="244" t="s">
        <v>245</v>
      </c>
      <c r="B33" s="679">
        <v>527</v>
      </c>
      <c r="D33" s="679">
        <v>460</v>
      </c>
      <c r="E33" s="98"/>
      <c r="F33" s="679">
        <v>460</v>
      </c>
      <c r="G33" s="98"/>
      <c r="H33" s="680">
        <f t="shared" si="3"/>
        <v>0</v>
      </c>
      <c r="I33" s="97">
        <f t="shared" si="4"/>
        <v>-67</v>
      </c>
      <c r="J33" s="679">
        <v>480</v>
      </c>
      <c r="K33" s="98"/>
      <c r="L33" s="679">
        <v>480</v>
      </c>
      <c r="M33" s="98"/>
      <c r="N33" s="680">
        <f t="shared" si="2"/>
        <v>0</v>
      </c>
      <c r="O33" s="224">
        <f t="shared" si="5"/>
        <v>20</v>
      </c>
      <c r="P33" s="157"/>
    </row>
    <row r="34" spans="1:16" ht="12.75" customHeight="1" x14ac:dyDescent="0.2">
      <c r="A34" s="244" t="s">
        <v>244</v>
      </c>
      <c r="B34" s="679">
        <v>123</v>
      </c>
      <c r="D34" s="679">
        <v>140</v>
      </c>
      <c r="E34" s="98"/>
      <c r="F34" s="679">
        <v>140</v>
      </c>
      <c r="G34" s="98"/>
      <c r="H34" s="680">
        <f t="shared" si="3"/>
        <v>0</v>
      </c>
      <c r="I34" s="97">
        <f t="shared" si="4"/>
        <v>17</v>
      </c>
      <c r="J34" s="679">
        <v>150</v>
      </c>
      <c r="K34" s="98"/>
      <c r="L34" s="679">
        <v>150</v>
      </c>
      <c r="M34" s="98"/>
      <c r="N34" s="680">
        <f t="shared" si="2"/>
        <v>0</v>
      </c>
      <c r="O34" s="224">
        <f t="shared" si="5"/>
        <v>10</v>
      </c>
      <c r="P34" s="157"/>
    </row>
    <row r="35" spans="1:16" ht="12.75" customHeight="1" x14ac:dyDescent="0.2">
      <c r="A35" s="244" t="s">
        <v>243</v>
      </c>
      <c r="B35" s="679">
        <v>270</v>
      </c>
      <c r="D35" s="679">
        <v>310</v>
      </c>
      <c r="E35" s="98"/>
      <c r="F35" s="679">
        <v>310</v>
      </c>
      <c r="G35" s="98"/>
      <c r="H35" s="680">
        <f t="shared" si="3"/>
        <v>0</v>
      </c>
      <c r="I35" s="97">
        <f t="shared" si="4"/>
        <v>40</v>
      </c>
      <c r="J35" s="679">
        <v>310</v>
      </c>
      <c r="K35" s="98"/>
      <c r="L35" s="679">
        <v>310</v>
      </c>
      <c r="M35" s="98"/>
      <c r="N35" s="680">
        <f t="shared" si="2"/>
        <v>0</v>
      </c>
      <c r="O35" s="224">
        <f t="shared" si="5"/>
        <v>0</v>
      </c>
      <c r="P35" s="157"/>
    </row>
    <row r="36" spans="1:16" ht="12.75" customHeight="1" x14ac:dyDescent="0.2">
      <c r="A36" s="244" t="s">
        <v>193</v>
      </c>
      <c r="B36" s="679">
        <v>3500</v>
      </c>
      <c r="D36" s="679">
        <v>3500</v>
      </c>
      <c r="E36" s="98"/>
      <c r="F36" s="679">
        <v>3500</v>
      </c>
      <c r="G36" s="98"/>
      <c r="H36" s="680">
        <f t="shared" si="3"/>
        <v>0</v>
      </c>
      <c r="I36" s="97">
        <f t="shared" si="4"/>
        <v>0</v>
      </c>
      <c r="J36" s="679">
        <v>1500</v>
      </c>
      <c r="K36" s="98"/>
      <c r="L36" s="679">
        <v>1500</v>
      </c>
      <c r="M36" s="98"/>
      <c r="N36" s="680">
        <f t="shared" si="2"/>
        <v>0</v>
      </c>
      <c r="O36" s="224">
        <f t="shared" si="5"/>
        <v>-2000</v>
      </c>
      <c r="P36" s="157"/>
    </row>
    <row r="37" spans="1:16" ht="12.75" customHeight="1" x14ac:dyDescent="0.2">
      <c r="A37" s="244" t="s">
        <v>194</v>
      </c>
      <c r="B37" s="679">
        <v>751</v>
      </c>
      <c r="D37" s="679">
        <v>1100</v>
      </c>
      <c r="E37" s="98"/>
      <c r="F37" s="679">
        <v>1100</v>
      </c>
      <c r="G37" s="98"/>
      <c r="H37" s="680">
        <f t="shared" si="3"/>
        <v>0</v>
      </c>
      <c r="I37" s="97">
        <f t="shared" si="4"/>
        <v>349</v>
      </c>
      <c r="J37" s="679">
        <v>1100</v>
      </c>
      <c r="K37" s="98"/>
      <c r="L37" s="679">
        <v>1100</v>
      </c>
      <c r="M37" s="98"/>
      <c r="N37" s="680">
        <f t="shared" si="2"/>
        <v>0</v>
      </c>
      <c r="O37" s="224">
        <f t="shared" si="5"/>
        <v>0</v>
      </c>
      <c r="P37" s="157"/>
    </row>
    <row r="38" spans="1:16" ht="12.75" customHeight="1" x14ac:dyDescent="0.2">
      <c r="A38" s="246" t="s">
        <v>195</v>
      </c>
      <c r="B38" s="679">
        <v>1845</v>
      </c>
      <c r="D38" s="679">
        <v>2000</v>
      </c>
      <c r="E38" s="98"/>
      <c r="F38" s="679">
        <v>2200</v>
      </c>
      <c r="G38" s="98"/>
      <c r="H38" s="680">
        <f t="shared" si="3"/>
        <v>200</v>
      </c>
      <c r="I38" s="97">
        <f t="shared" si="4"/>
        <v>355</v>
      </c>
      <c r="J38" s="679">
        <v>1900</v>
      </c>
      <c r="K38" s="98"/>
      <c r="L38" s="679">
        <v>1900</v>
      </c>
      <c r="M38" s="98"/>
      <c r="N38" s="680">
        <f t="shared" si="2"/>
        <v>0</v>
      </c>
      <c r="O38" s="224">
        <f t="shared" si="5"/>
        <v>-300</v>
      </c>
      <c r="P38" s="157"/>
    </row>
    <row r="39" spans="1:16" ht="12.75" customHeight="1" x14ac:dyDescent="0.2">
      <c r="A39" s="246" t="s">
        <v>347</v>
      </c>
      <c r="B39" s="679">
        <v>146</v>
      </c>
      <c r="D39" s="679">
        <v>150</v>
      </c>
      <c r="E39" s="98"/>
      <c r="F39" s="679">
        <v>150</v>
      </c>
      <c r="G39" s="98"/>
      <c r="H39" s="680">
        <f t="shared" si="3"/>
        <v>0</v>
      </c>
      <c r="I39" s="97">
        <f t="shared" si="4"/>
        <v>4</v>
      </c>
      <c r="J39" s="679">
        <v>160</v>
      </c>
      <c r="K39" s="98"/>
      <c r="L39" s="679">
        <v>160</v>
      </c>
      <c r="M39" s="98"/>
      <c r="N39" s="680">
        <f t="shared" si="2"/>
        <v>0</v>
      </c>
      <c r="O39" s="224">
        <f t="shared" si="5"/>
        <v>10</v>
      </c>
      <c r="P39" s="157"/>
    </row>
    <row r="40" spans="1:16" ht="12.75" customHeight="1" x14ac:dyDescent="0.2">
      <c r="A40" s="246" t="s">
        <v>196</v>
      </c>
      <c r="B40" s="679">
        <v>709</v>
      </c>
      <c r="D40" s="679">
        <v>685</v>
      </c>
      <c r="E40" s="98"/>
      <c r="F40" s="679">
        <v>685</v>
      </c>
      <c r="G40" s="98"/>
      <c r="H40" s="680">
        <f t="shared" si="3"/>
        <v>0</v>
      </c>
      <c r="I40" s="97">
        <f t="shared" si="4"/>
        <v>-24</v>
      </c>
      <c r="J40" s="679">
        <v>690</v>
      </c>
      <c r="K40" s="98"/>
      <c r="L40" s="679">
        <v>690</v>
      </c>
      <c r="M40" s="98"/>
      <c r="N40" s="680">
        <f t="shared" si="2"/>
        <v>0</v>
      </c>
      <c r="O40" s="224">
        <f t="shared" si="5"/>
        <v>5</v>
      </c>
      <c r="P40" s="157"/>
    </row>
    <row r="41" spans="1:16" ht="12.75" customHeight="1" x14ac:dyDescent="0.2">
      <c r="A41" s="246" t="s">
        <v>242</v>
      </c>
      <c r="B41" s="679">
        <v>215</v>
      </c>
      <c r="D41" s="679">
        <v>200</v>
      </c>
      <c r="E41" s="98"/>
      <c r="F41" s="679">
        <v>200</v>
      </c>
      <c r="G41" s="98"/>
      <c r="H41" s="680">
        <f t="shared" si="3"/>
        <v>0</v>
      </c>
      <c r="I41" s="97">
        <f t="shared" si="4"/>
        <v>-15</v>
      </c>
      <c r="J41" s="679">
        <v>225</v>
      </c>
      <c r="K41" s="98"/>
      <c r="L41" s="679">
        <v>225</v>
      </c>
      <c r="M41" s="98"/>
      <c r="N41" s="680">
        <f t="shared" si="2"/>
        <v>0</v>
      </c>
      <c r="O41" s="224">
        <f t="shared" si="5"/>
        <v>25</v>
      </c>
      <c r="P41" s="157"/>
    </row>
    <row r="42" spans="1:16" ht="12.75" customHeight="1" x14ac:dyDescent="0.2">
      <c r="A42" s="246" t="s">
        <v>232</v>
      </c>
      <c r="B42" s="679">
        <v>109</v>
      </c>
      <c r="D42" s="679">
        <v>130</v>
      </c>
      <c r="E42" s="98"/>
      <c r="F42" s="679">
        <v>130</v>
      </c>
      <c r="G42" s="98"/>
      <c r="H42" s="680">
        <f t="shared" si="3"/>
        <v>0</v>
      </c>
      <c r="I42" s="97">
        <f t="shared" si="4"/>
        <v>21</v>
      </c>
      <c r="J42" s="679">
        <v>150</v>
      </c>
      <c r="K42" s="98"/>
      <c r="L42" s="679">
        <v>150</v>
      </c>
      <c r="M42" s="98"/>
      <c r="N42" s="680">
        <f t="shared" si="2"/>
        <v>0</v>
      </c>
      <c r="O42" s="224">
        <f t="shared" si="5"/>
        <v>20</v>
      </c>
      <c r="P42" s="157"/>
    </row>
    <row r="43" spans="1:16" ht="12.75" customHeight="1" x14ac:dyDescent="0.2">
      <c r="A43" s="246" t="s">
        <v>249</v>
      </c>
      <c r="B43" s="679">
        <v>936</v>
      </c>
      <c r="D43" s="679">
        <v>650</v>
      </c>
      <c r="E43" s="98"/>
      <c r="F43" s="679">
        <v>1150</v>
      </c>
      <c r="G43" s="98"/>
      <c r="H43" s="680">
        <f t="shared" si="3"/>
        <v>500</v>
      </c>
      <c r="I43" s="97">
        <f t="shared" si="4"/>
        <v>214</v>
      </c>
      <c r="J43" s="679">
        <v>600</v>
      </c>
      <c r="K43" s="98"/>
      <c r="L43" s="679">
        <v>800</v>
      </c>
      <c r="M43" s="98"/>
      <c r="N43" s="680">
        <f t="shared" si="2"/>
        <v>200</v>
      </c>
      <c r="O43" s="224">
        <f t="shared" si="5"/>
        <v>-350</v>
      </c>
      <c r="P43" s="157"/>
    </row>
    <row r="44" spans="1:16" ht="12.75" customHeight="1" x14ac:dyDescent="0.2">
      <c r="A44" s="246" t="s">
        <v>197</v>
      </c>
      <c r="B44" s="679">
        <v>164</v>
      </c>
      <c r="D44" s="679">
        <v>110</v>
      </c>
      <c r="E44" s="98"/>
      <c r="F44" s="679">
        <v>110</v>
      </c>
      <c r="G44" s="98"/>
      <c r="H44" s="680">
        <f t="shared" si="3"/>
        <v>0</v>
      </c>
      <c r="I44" s="97">
        <f t="shared" si="4"/>
        <v>-54</v>
      </c>
      <c r="J44" s="679">
        <v>100</v>
      </c>
      <c r="K44" s="98"/>
      <c r="L44" s="679">
        <v>100</v>
      </c>
      <c r="M44" s="98"/>
      <c r="N44" s="680">
        <f t="shared" si="2"/>
        <v>0</v>
      </c>
      <c r="O44" s="224">
        <f t="shared" si="5"/>
        <v>-10</v>
      </c>
      <c r="P44" s="157"/>
    </row>
    <row r="45" spans="1:16" ht="12.75" customHeight="1" x14ac:dyDescent="0.2">
      <c r="A45" s="246" t="s">
        <v>198</v>
      </c>
      <c r="B45" s="679">
        <v>251</v>
      </c>
      <c r="D45" s="679">
        <v>460</v>
      </c>
      <c r="E45" s="98"/>
      <c r="F45" s="679">
        <v>460</v>
      </c>
      <c r="G45" s="98"/>
      <c r="H45" s="680">
        <f t="shared" si="3"/>
        <v>0</v>
      </c>
      <c r="I45" s="97">
        <f t="shared" si="4"/>
        <v>209</v>
      </c>
      <c r="J45" s="679">
        <v>440</v>
      </c>
      <c r="K45" s="98"/>
      <c r="L45" s="679">
        <v>440</v>
      </c>
      <c r="M45" s="98"/>
      <c r="N45" s="680">
        <f t="shared" si="2"/>
        <v>0</v>
      </c>
      <c r="O45" s="224">
        <f t="shared" si="5"/>
        <v>-20</v>
      </c>
      <c r="P45" s="157"/>
    </row>
    <row r="46" spans="1:16" ht="12.75" customHeight="1" x14ac:dyDescent="0.2">
      <c r="A46" s="246" t="s">
        <v>446</v>
      </c>
      <c r="B46" s="679">
        <v>219</v>
      </c>
      <c r="D46" s="679">
        <v>225</v>
      </c>
      <c r="E46" s="98"/>
      <c r="F46" s="679">
        <v>225</v>
      </c>
      <c r="G46" s="98"/>
      <c r="H46" s="680">
        <f t="shared" ref="H46" si="15">F46-D46</f>
        <v>0</v>
      </c>
      <c r="I46" s="97">
        <f t="shared" ref="I46" si="16">F46-B46</f>
        <v>6</v>
      </c>
      <c r="J46" s="679">
        <v>230</v>
      </c>
      <c r="K46" s="98"/>
      <c r="L46" s="679">
        <v>230</v>
      </c>
      <c r="M46" s="98"/>
      <c r="N46" s="680">
        <f t="shared" si="2"/>
        <v>0</v>
      </c>
      <c r="O46" s="224">
        <f t="shared" si="5"/>
        <v>5</v>
      </c>
      <c r="P46" s="157"/>
    </row>
    <row r="47" spans="1:16" ht="12.75" customHeight="1" x14ac:dyDescent="0.2">
      <c r="A47" s="246" t="s">
        <v>200</v>
      </c>
      <c r="B47" s="679">
        <v>330</v>
      </c>
      <c r="D47" s="679">
        <v>350</v>
      </c>
      <c r="E47" s="98"/>
      <c r="F47" s="679">
        <v>350</v>
      </c>
      <c r="G47" s="98"/>
      <c r="H47" s="680">
        <f t="shared" si="3"/>
        <v>0</v>
      </c>
      <c r="I47" s="97">
        <f t="shared" si="4"/>
        <v>20</v>
      </c>
      <c r="J47" s="679">
        <v>400</v>
      </c>
      <c r="K47" s="98"/>
      <c r="L47" s="679">
        <v>400</v>
      </c>
      <c r="M47" s="98"/>
      <c r="N47" s="680">
        <f t="shared" si="2"/>
        <v>0</v>
      </c>
      <c r="O47" s="224">
        <f t="shared" si="5"/>
        <v>50</v>
      </c>
      <c r="P47" s="157"/>
    </row>
    <row r="48" spans="1:16" ht="12.75" customHeight="1" x14ac:dyDescent="0.2">
      <c r="A48" s="246" t="s">
        <v>241</v>
      </c>
      <c r="B48" s="679">
        <v>80</v>
      </c>
      <c r="D48" s="679">
        <v>110</v>
      </c>
      <c r="E48" s="98"/>
      <c r="F48" s="679">
        <v>110</v>
      </c>
      <c r="G48" s="98"/>
      <c r="H48" s="680">
        <f t="shared" si="3"/>
        <v>0</v>
      </c>
      <c r="I48" s="97">
        <f t="shared" si="4"/>
        <v>30</v>
      </c>
      <c r="J48" s="679">
        <v>100</v>
      </c>
      <c r="K48" s="98"/>
      <c r="L48" s="679">
        <v>100</v>
      </c>
      <c r="M48" s="98"/>
      <c r="N48" s="680">
        <f t="shared" si="2"/>
        <v>0</v>
      </c>
      <c r="O48" s="224">
        <f t="shared" si="5"/>
        <v>-10</v>
      </c>
      <c r="P48" s="157"/>
    </row>
    <row r="49" spans="1:16" ht="12.75" customHeight="1" x14ac:dyDescent="0.2">
      <c r="A49" s="246" t="s">
        <v>201</v>
      </c>
      <c r="B49" s="679">
        <v>424</v>
      </c>
      <c r="D49" s="679">
        <v>375</v>
      </c>
      <c r="E49" s="98"/>
      <c r="F49" s="679">
        <v>375</v>
      </c>
      <c r="G49" s="98"/>
      <c r="H49" s="680">
        <f t="shared" si="3"/>
        <v>0</v>
      </c>
      <c r="I49" s="97">
        <f t="shared" si="4"/>
        <v>-49</v>
      </c>
      <c r="J49" s="679">
        <v>400</v>
      </c>
      <c r="K49" s="98"/>
      <c r="L49" s="679">
        <v>400</v>
      </c>
      <c r="M49" s="98"/>
      <c r="N49" s="680">
        <f t="shared" si="2"/>
        <v>0</v>
      </c>
      <c r="O49" s="224">
        <f t="shared" si="5"/>
        <v>25</v>
      </c>
      <c r="P49" s="157"/>
    </row>
    <row r="50" spans="1:16" ht="12.75" customHeight="1" x14ac:dyDescent="0.2">
      <c r="A50" s="246" t="s">
        <v>202</v>
      </c>
      <c r="B50" s="679">
        <v>1410</v>
      </c>
      <c r="D50" s="679">
        <v>1200</v>
      </c>
      <c r="E50" s="98"/>
      <c r="F50" s="679">
        <v>1200</v>
      </c>
      <c r="G50" s="98"/>
      <c r="H50" s="680">
        <f t="shared" si="3"/>
        <v>0</v>
      </c>
      <c r="I50" s="97">
        <f t="shared" si="4"/>
        <v>-210</v>
      </c>
      <c r="J50" s="679">
        <v>1250</v>
      </c>
      <c r="K50" s="98"/>
      <c r="L50" s="679">
        <v>1250</v>
      </c>
      <c r="M50" s="98"/>
      <c r="N50" s="680">
        <f t="shared" si="2"/>
        <v>0</v>
      </c>
      <c r="O50" s="224">
        <f t="shared" si="5"/>
        <v>50</v>
      </c>
      <c r="P50" s="157"/>
    </row>
    <row r="51" spans="1:16" ht="12.75" customHeight="1" x14ac:dyDescent="0.2">
      <c r="A51" s="246" t="s">
        <v>203</v>
      </c>
      <c r="B51" s="679">
        <v>400</v>
      </c>
      <c r="D51" s="679">
        <v>350</v>
      </c>
      <c r="E51" s="98"/>
      <c r="F51" s="679">
        <v>350</v>
      </c>
      <c r="G51" s="98"/>
      <c r="H51" s="680">
        <f t="shared" si="3"/>
        <v>0</v>
      </c>
      <c r="I51" s="97">
        <f t="shared" si="4"/>
        <v>-50</v>
      </c>
      <c r="J51" s="679">
        <v>375</v>
      </c>
      <c r="K51" s="98"/>
      <c r="L51" s="679">
        <v>375</v>
      </c>
      <c r="M51" s="98"/>
      <c r="N51" s="680">
        <f t="shared" si="2"/>
        <v>0</v>
      </c>
      <c r="O51" s="224">
        <f t="shared" si="5"/>
        <v>25</v>
      </c>
      <c r="P51" s="157"/>
    </row>
    <row r="52" spans="1:16" ht="12.75" customHeight="1" x14ac:dyDescent="0.2">
      <c r="A52" s="246" t="s">
        <v>204</v>
      </c>
      <c r="B52" s="679">
        <v>728</v>
      </c>
      <c r="D52" s="679">
        <v>825</v>
      </c>
      <c r="E52" s="98"/>
      <c r="F52" s="679">
        <v>825</v>
      </c>
      <c r="G52" s="98"/>
      <c r="H52" s="680">
        <f t="shared" si="3"/>
        <v>0</v>
      </c>
      <c r="I52" s="97">
        <f t="shared" si="4"/>
        <v>97</v>
      </c>
      <c r="J52" s="679">
        <v>840</v>
      </c>
      <c r="K52" s="98"/>
      <c r="L52" s="679">
        <v>840</v>
      </c>
      <c r="M52" s="98"/>
      <c r="N52" s="680">
        <f t="shared" si="2"/>
        <v>0</v>
      </c>
      <c r="O52" s="224">
        <f t="shared" si="5"/>
        <v>15</v>
      </c>
      <c r="P52" s="157"/>
    </row>
    <row r="53" spans="1:16" ht="12.75" customHeight="1" x14ac:dyDescent="0.2">
      <c r="A53" s="246" t="s">
        <v>205</v>
      </c>
      <c r="B53" s="679">
        <v>740</v>
      </c>
      <c r="D53" s="679">
        <v>700</v>
      </c>
      <c r="E53" s="98"/>
      <c r="F53" s="679">
        <v>750</v>
      </c>
      <c r="G53" s="98"/>
      <c r="H53" s="680">
        <f t="shared" si="3"/>
        <v>50</v>
      </c>
      <c r="I53" s="97">
        <f t="shared" si="4"/>
        <v>10</v>
      </c>
      <c r="J53" s="679">
        <v>750</v>
      </c>
      <c r="K53" s="98"/>
      <c r="L53" s="679">
        <v>775</v>
      </c>
      <c r="M53" s="98"/>
      <c r="N53" s="680">
        <f t="shared" si="2"/>
        <v>25</v>
      </c>
      <c r="O53" s="224">
        <f t="shared" si="5"/>
        <v>25</v>
      </c>
      <c r="P53" s="157"/>
    </row>
    <row r="54" spans="1:16" ht="12.75" customHeight="1" x14ac:dyDescent="0.2">
      <c r="A54" s="246" t="s">
        <v>206</v>
      </c>
      <c r="B54" s="679">
        <v>445</v>
      </c>
      <c r="D54" s="679">
        <v>500</v>
      </c>
      <c r="E54" s="98"/>
      <c r="F54" s="679">
        <v>500</v>
      </c>
      <c r="G54" s="98"/>
      <c r="H54" s="680">
        <f t="shared" si="3"/>
        <v>0</v>
      </c>
      <c r="I54" s="97">
        <f t="shared" si="4"/>
        <v>55</v>
      </c>
      <c r="J54" s="679">
        <v>550</v>
      </c>
      <c r="K54" s="98"/>
      <c r="L54" s="679">
        <v>550</v>
      </c>
      <c r="M54" s="98"/>
      <c r="N54" s="680">
        <f t="shared" si="2"/>
        <v>0</v>
      </c>
      <c r="O54" s="224">
        <f t="shared" si="5"/>
        <v>50</v>
      </c>
      <c r="P54" s="157"/>
    </row>
    <row r="55" spans="1:16" ht="12.75" customHeight="1" x14ac:dyDescent="0.2">
      <c r="A55" s="246" t="s">
        <v>272</v>
      </c>
      <c r="B55" s="679">
        <v>100</v>
      </c>
      <c r="D55" s="679">
        <v>100</v>
      </c>
      <c r="E55" s="98"/>
      <c r="F55" s="679">
        <v>100</v>
      </c>
      <c r="G55" s="98"/>
      <c r="H55" s="680">
        <f t="shared" si="3"/>
        <v>0</v>
      </c>
      <c r="I55" s="97">
        <f t="shared" si="4"/>
        <v>0</v>
      </c>
      <c r="J55" s="679">
        <v>105</v>
      </c>
      <c r="K55" s="98"/>
      <c r="L55" s="679">
        <v>105</v>
      </c>
      <c r="M55" s="98"/>
      <c r="N55" s="680">
        <f t="shared" si="2"/>
        <v>0</v>
      </c>
      <c r="O55" s="224">
        <f t="shared" si="5"/>
        <v>5</v>
      </c>
      <c r="P55" s="157"/>
    </row>
    <row r="56" spans="1:16" ht="12.75" customHeight="1" x14ac:dyDescent="0.2">
      <c r="A56" s="247" t="s">
        <v>240</v>
      </c>
      <c r="B56" s="679">
        <v>300</v>
      </c>
      <c r="D56" s="679">
        <v>300</v>
      </c>
      <c r="E56" s="98"/>
      <c r="F56" s="679">
        <v>300</v>
      </c>
      <c r="G56" s="98"/>
      <c r="H56" s="680">
        <f t="shared" si="3"/>
        <v>0</v>
      </c>
      <c r="I56" s="97">
        <f t="shared" si="4"/>
        <v>0</v>
      </c>
      <c r="J56" s="679">
        <v>300</v>
      </c>
      <c r="K56" s="98"/>
      <c r="L56" s="679">
        <v>300</v>
      </c>
      <c r="M56" s="98"/>
      <c r="N56" s="680">
        <f t="shared" si="2"/>
        <v>0</v>
      </c>
      <c r="O56" s="224">
        <f t="shared" si="5"/>
        <v>0</v>
      </c>
      <c r="P56" s="157"/>
    </row>
    <row r="57" spans="1:16" ht="12.75" customHeight="1" x14ac:dyDescent="0.2">
      <c r="A57" s="246" t="s">
        <v>207</v>
      </c>
      <c r="B57" s="679">
        <v>2000</v>
      </c>
      <c r="D57" s="679">
        <v>2000</v>
      </c>
      <c r="E57" s="98"/>
      <c r="F57" s="679">
        <v>2000</v>
      </c>
      <c r="G57" s="98"/>
      <c r="H57" s="680">
        <f t="shared" si="3"/>
        <v>0</v>
      </c>
      <c r="I57" s="97">
        <f t="shared" si="4"/>
        <v>0</v>
      </c>
      <c r="J57" s="679">
        <v>2000</v>
      </c>
      <c r="K57" s="98"/>
      <c r="L57" s="679">
        <v>2000</v>
      </c>
      <c r="M57" s="98"/>
      <c r="N57" s="680">
        <f t="shared" si="2"/>
        <v>0</v>
      </c>
      <c r="O57" s="224">
        <f t="shared" si="5"/>
        <v>0</v>
      </c>
      <c r="P57" s="157"/>
    </row>
    <row r="58" spans="1:16" ht="12.75" customHeight="1" x14ac:dyDescent="0.2">
      <c r="A58" s="246" t="s">
        <v>282</v>
      </c>
      <c r="B58" s="679">
        <v>297</v>
      </c>
      <c r="D58" s="679">
        <v>285</v>
      </c>
      <c r="E58" s="98"/>
      <c r="F58" s="679">
        <v>285</v>
      </c>
      <c r="G58" s="98"/>
      <c r="H58" s="680">
        <f t="shared" si="3"/>
        <v>0</v>
      </c>
      <c r="I58" s="97">
        <f t="shared" si="4"/>
        <v>-12</v>
      </c>
      <c r="J58" s="679">
        <v>300</v>
      </c>
      <c r="K58" s="98"/>
      <c r="L58" s="679">
        <v>300</v>
      </c>
      <c r="M58" s="98"/>
      <c r="N58" s="680">
        <f t="shared" si="2"/>
        <v>0</v>
      </c>
      <c r="O58" s="224">
        <f t="shared" si="5"/>
        <v>15</v>
      </c>
      <c r="P58" s="157"/>
    </row>
    <row r="59" spans="1:16" ht="12.75" customHeight="1" x14ac:dyDescent="0.2">
      <c r="A59" s="246" t="s">
        <v>273</v>
      </c>
      <c r="B59" s="679">
        <v>135</v>
      </c>
      <c r="D59" s="679">
        <v>125</v>
      </c>
      <c r="E59" s="98"/>
      <c r="F59" s="679">
        <v>125</v>
      </c>
      <c r="G59" s="98"/>
      <c r="H59" s="680">
        <f t="shared" si="3"/>
        <v>0</v>
      </c>
      <c r="I59" s="97">
        <f t="shared" si="4"/>
        <v>-10</v>
      </c>
      <c r="J59" s="679">
        <v>130</v>
      </c>
      <c r="K59" s="98"/>
      <c r="L59" s="679">
        <v>130</v>
      </c>
      <c r="M59" s="98"/>
      <c r="N59" s="680">
        <f t="shared" si="2"/>
        <v>0</v>
      </c>
      <c r="O59" s="224">
        <f t="shared" si="5"/>
        <v>5</v>
      </c>
      <c r="P59" s="157"/>
    </row>
    <row r="60" spans="1:16" ht="12.75" customHeight="1" x14ac:dyDescent="0.2">
      <c r="A60" s="246" t="s">
        <v>210</v>
      </c>
      <c r="B60" s="679">
        <v>142</v>
      </c>
      <c r="D60" s="679">
        <v>160</v>
      </c>
      <c r="E60" s="98"/>
      <c r="F60" s="679">
        <v>160</v>
      </c>
      <c r="G60" s="98"/>
      <c r="H60" s="680">
        <f t="shared" si="3"/>
        <v>0</v>
      </c>
      <c r="I60" s="97">
        <f t="shared" si="4"/>
        <v>18</v>
      </c>
      <c r="J60" s="679">
        <v>145</v>
      </c>
      <c r="K60" s="98"/>
      <c r="L60" s="679">
        <v>145</v>
      </c>
      <c r="M60" s="98"/>
      <c r="N60" s="680">
        <f t="shared" si="2"/>
        <v>0</v>
      </c>
      <c r="O60" s="224">
        <f t="shared" si="5"/>
        <v>-15</v>
      </c>
      <c r="P60" s="157"/>
    </row>
    <row r="61" spans="1:16" ht="12.75" customHeight="1" x14ac:dyDescent="0.2">
      <c r="A61" s="246" t="s">
        <v>211</v>
      </c>
      <c r="B61" s="681">
        <v>3900</v>
      </c>
      <c r="D61" s="681">
        <v>4100</v>
      </c>
      <c r="E61" s="142"/>
      <c r="F61" s="681">
        <v>4600</v>
      </c>
      <c r="G61" s="142"/>
      <c r="H61" s="682">
        <f t="shared" si="3"/>
        <v>500</v>
      </c>
      <c r="I61" s="97">
        <f t="shared" si="4"/>
        <v>700</v>
      </c>
      <c r="J61" s="681">
        <v>4200</v>
      </c>
      <c r="K61" s="142"/>
      <c r="L61" s="681">
        <v>4700</v>
      </c>
      <c r="M61" s="142"/>
      <c r="N61" s="680">
        <f t="shared" si="2"/>
        <v>500</v>
      </c>
      <c r="O61" s="224">
        <f t="shared" si="5"/>
        <v>100</v>
      </c>
      <c r="P61" s="157"/>
    </row>
    <row r="62" spans="1:16" ht="12.75" customHeight="1" x14ac:dyDescent="0.2">
      <c r="A62" s="246" t="s">
        <v>283</v>
      </c>
      <c r="B62" s="679">
        <v>193</v>
      </c>
      <c r="D62" s="679">
        <v>185</v>
      </c>
      <c r="E62" s="98"/>
      <c r="F62" s="679">
        <v>185</v>
      </c>
      <c r="G62" s="98"/>
      <c r="H62" s="680">
        <f t="shared" si="3"/>
        <v>0</v>
      </c>
      <c r="I62" s="97">
        <f t="shared" si="4"/>
        <v>-8</v>
      </c>
      <c r="J62" s="679">
        <v>200</v>
      </c>
      <c r="K62" s="98"/>
      <c r="L62" s="679">
        <v>200</v>
      </c>
      <c r="M62" s="98"/>
      <c r="N62" s="680">
        <f t="shared" si="2"/>
        <v>0</v>
      </c>
      <c r="O62" s="224">
        <f t="shared" si="5"/>
        <v>15</v>
      </c>
      <c r="P62" s="157"/>
    </row>
    <row r="63" spans="1:16" ht="12.75" customHeight="1" x14ac:dyDescent="0.2">
      <c r="A63" s="246" t="s">
        <v>212</v>
      </c>
      <c r="B63" s="679">
        <v>218</v>
      </c>
      <c r="D63" s="679">
        <v>200</v>
      </c>
      <c r="E63" s="98"/>
      <c r="F63" s="679">
        <v>200</v>
      </c>
      <c r="G63" s="98"/>
      <c r="H63" s="680">
        <f t="shared" si="3"/>
        <v>0</v>
      </c>
      <c r="I63" s="97">
        <f t="shared" si="4"/>
        <v>-18</v>
      </c>
      <c r="J63" s="679">
        <v>200</v>
      </c>
      <c r="K63" s="98"/>
      <c r="L63" s="679">
        <v>200</v>
      </c>
      <c r="M63" s="98"/>
      <c r="N63" s="680">
        <f t="shared" si="2"/>
        <v>0</v>
      </c>
      <c r="O63" s="224">
        <f t="shared" si="5"/>
        <v>0</v>
      </c>
      <c r="P63" s="157"/>
    </row>
    <row r="64" spans="1:16" ht="12.75" customHeight="1" x14ac:dyDescent="0.2">
      <c r="A64" s="246" t="s">
        <v>239</v>
      </c>
      <c r="B64" s="679">
        <v>1487</v>
      </c>
      <c r="D64" s="679">
        <v>1600</v>
      </c>
      <c r="E64" s="98"/>
      <c r="F64" s="679">
        <v>1600</v>
      </c>
      <c r="G64" s="98"/>
      <c r="H64" s="680">
        <f t="shared" si="3"/>
        <v>0</v>
      </c>
      <c r="I64" s="97">
        <f t="shared" si="4"/>
        <v>113</v>
      </c>
      <c r="J64" s="679">
        <v>1700</v>
      </c>
      <c r="K64" s="98"/>
      <c r="L64" s="679">
        <v>1700</v>
      </c>
      <c r="M64" s="98"/>
      <c r="N64" s="680">
        <f t="shared" si="2"/>
        <v>0</v>
      </c>
      <c r="O64" s="224">
        <f t="shared" si="5"/>
        <v>100</v>
      </c>
      <c r="P64" s="157"/>
    </row>
    <row r="65" spans="1:16" ht="12.75" customHeight="1" x14ac:dyDescent="0.2">
      <c r="A65" s="246" t="s">
        <v>231</v>
      </c>
      <c r="B65" s="679">
        <v>1300</v>
      </c>
      <c r="D65" s="679">
        <v>1450</v>
      </c>
      <c r="E65" s="98"/>
      <c r="F65" s="679">
        <v>1450</v>
      </c>
      <c r="G65" s="98"/>
      <c r="H65" s="680">
        <f t="shared" si="3"/>
        <v>0</v>
      </c>
      <c r="I65" s="97">
        <f t="shared" si="4"/>
        <v>150</v>
      </c>
      <c r="J65" s="679">
        <v>1500</v>
      </c>
      <c r="K65" s="98"/>
      <c r="L65" s="679">
        <v>1500</v>
      </c>
      <c r="M65" s="98"/>
      <c r="N65" s="680">
        <f t="shared" si="2"/>
        <v>0</v>
      </c>
      <c r="O65" s="224">
        <f t="shared" si="5"/>
        <v>50</v>
      </c>
      <c r="P65" s="157"/>
    </row>
    <row r="66" spans="1:16" ht="12.75" customHeight="1" x14ac:dyDescent="0.2">
      <c r="A66" s="246" t="s">
        <v>213</v>
      </c>
      <c r="B66" s="679">
        <v>395</v>
      </c>
      <c r="D66" s="679">
        <v>400</v>
      </c>
      <c r="E66" s="98"/>
      <c r="F66" s="679">
        <v>400</v>
      </c>
      <c r="G66" s="98"/>
      <c r="H66" s="680">
        <f t="shared" si="3"/>
        <v>0</v>
      </c>
      <c r="I66" s="97">
        <f t="shared" si="4"/>
        <v>5</v>
      </c>
      <c r="J66" s="679">
        <v>400</v>
      </c>
      <c r="K66" s="98"/>
      <c r="L66" s="679">
        <v>400</v>
      </c>
      <c r="M66" s="98"/>
      <c r="N66" s="680">
        <f t="shared" si="2"/>
        <v>0</v>
      </c>
      <c r="O66" s="224">
        <f t="shared" si="5"/>
        <v>0</v>
      </c>
      <c r="P66" s="157"/>
    </row>
    <row r="67" spans="1:16" ht="12.75" customHeight="1" x14ac:dyDescent="0.2">
      <c r="A67" s="246" t="s">
        <v>238</v>
      </c>
      <c r="B67" s="679">
        <v>433</v>
      </c>
      <c r="D67" s="679">
        <v>375</v>
      </c>
      <c r="E67" s="98"/>
      <c r="F67" s="679">
        <v>375</v>
      </c>
      <c r="G67" s="98"/>
      <c r="H67" s="680">
        <f t="shared" si="3"/>
        <v>0</v>
      </c>
      <c r="I67" s="97">
        <f t="shared" si="4"/>
        <v>-58</v>
      </c>
      <c r="J67" s="679">
        <v>400</v>
      </c>
      <c r="K67" s="98"/>
      <c r="L67" s="679">
        <v>400</v>
      </c>
      <c r="M67" s="98"/>
      <c r="N67" s="680">
        <f t="shared" si="2"/>
        <v>0</v>
      </c>
      <c r="O67" s="224">
        <f t="shared" si="5"/>
        <v>25</v>
      </c>
      <c r="P67" s="157"/>
    </row>
    <row r="68" spans="1:16" ht="12.75" customHeight="1" x14ac:dyDescent="0.2">
      <c r="A68" s="246" t="s">
        <v>267</v>
      </c>
      <c r="B68" s="679">
        <v>480</v>
      </c>
      <c r="D68" s="679">
        <v>600</v>
      </c>
      <c r="E68" s="98"/>
      <c r="F68" s="679">
        <v>600</v>
      </c>
      <c r="G68" s="98"/>
      <c r="H68" s="680">
        <f t="shared" si="3"/>
        <v>0</v>
      </c>
      <c r="I68" s="97">
        <f t="shared" si="4"/>
        <v>120</v>
      </c>
      <c r="J68" s="679">
        <v>650</v>
      </c>
      <c r="K68" s="98"/>
      <c r="L68" s="679">
        <v>650</v>
      </c>
      <c r="M68" s="98"/>
      <c r="N68" s="680">
        <f t="shared" si="2"/>
        <v>0</v>
      </c>
      <c r="O68" s="224">
        <f t="shared" si="5"/>
        <v>50</v>
      </c>
      <c r="P68" s="157"/>
    </row>
    <row r="69" spans="1:16" ht="12.75" customHeight="1" x14ac:dyDescent="0.2">
      <c r="A69" s="246" t="s">
        <v>230</v>
      </c>
      <c r="B69" s="679">
        <v>1221</v>
      </c>
      <c r="D69" s="679">
        <v>1100</v>
      </c>
      <c r="E69" s="98"/>
      <c r="F69" s="679">
        <v>1100</v>
      </c>
      <c r="G69" s="98"/>
      <c r="H69" s="680">
        <f t="shared" si="3"/>
        <v>0</v>
      </c>
      <c r="I69" s="97">
        <f t="shared" si="4"/>
        <v>-121</v>
      </c>
      <c r="J69" s="679">
        <v>1150</v>
      </c>
      <c r="K69" s="98"/>
      <c r="L69" s="679">
        <v>1150</v>
      </c>
      <c r="M69" s="98"/>
      <c r="N69" s="680">
        <f t="shared" si="2"/>
        <v>0</v>
      </c>
      <c r="O69" s="224">
        <f t="shared" si="5"/>
        <v>50</v>
      </c>
      <c r="P69" s="157"/>
    </row>
    <row r="70" spans="1:16" ht="12.75" customHeight="1" x14ac:dyDescent="0.2">
      <c r="A70" s="246" t="s">
        <v>214</v>
      </c>
      <c r="B70" s="679">
        <v>30</v>
      </c>
      <c r="D70" s="679">
        <v>50</v>
      </c>
      <c r="E70" s="98"/>
      <c r="F70" s="679">
        <v>50</v>
      </c>
      <c r="G70" s="98"/>
      <c r="H70" s="680">
        <f t="shared" si="3"/>
        <v>0</v>
      </c>
      <c r="I70" s="97">
        <f t="shared" si="4"/>
        <v>20</v>
      </c>
      <c r="J70" s="679">
        <v>50</v>
      </c>
      <c r="K70" s="98"/>
      <c r="L70" s="679">
        <v>50</v>
      </c>
      <c r="M70" s="98"/>
      <c r="N70" s="680">
        <f t="shared" si="2"/>
        <v>0</v>
      </c>
      <c r="O70" s="224">
        <f t="shared" si="5"/>
        <v>0</v>
      </c>
      <c r="P70" s="157"/>
    </row>
    <row r="71" spans="1:16" s="132" customFormat="1" ht="12.75" customHeight="1" x14ac:dyDescent="0.2">
      <c r="A71" s="248" t="s">
        <v>237</v>
      </c>
      <c r="B71" s="679">
        <v>122</v>
      </c>
      <c r="C71" s="225"/>
      <c r="D71" s="679">
        <v>150</v>
      </c>
      <c r="E71" s="98"/>
      <c r="F71" s="679">
        <v>150</v>
      </c>
      <c r="G71" s="98"/>
      <c r="H71" s="680">
        <f t="shared" si="3"/>
        <v>0</v>
      </c>
      <c r="I71" s="97">
        <f t="shared" si="4"/>
        <v>28</v>
      </c>
      <c r="J71" s="679">
        <v>160</v>
      </c>
      <c r="K71" s="98"/>
      <c r="L71" s="679">
        <v>160</v>
      </c>
      <c r="M71" s="98"/>
      <c r="N71" s="680">
        <f t="shared" si="2"/>
        <v>0</v>
      </c>
      <c r="O71" s="224">
        <f t="shared" si="5"/>
        <v>10</v>
      </c>
      <c r="P71" s="158"/>
    </row>
    <row r="72" spans="1:16" s="132" customFormat="1" ht="12.75" customHeight="1" x14ac:dyDescent="0.2">
      <c r="A72" s="248" t="s">
        <v>215</v>
      </c>
      <c r="B72" s="679">
        <v>109</v>
      </c>
      <c r="C72" s="225"/>
      <c r="D72" s="679">
        <v>110</v>
      </c>
      <c r="E72" s="98"/>
      <c r="F72" s="679">
        <v>110</v>
      </c>
      <c r="G72" s="98"/>
      <c r="H72" s="680">
        <f t="shared" si="3"/>
        <v>0</v>
      </c>
      <c r="I72" s="97">
        <f t="shared" si="4"/>
        <v>1</v>
      </c>
      <c r="J72" s="679">
        <v>110</v>
      </c>
      <c r="K72" s="98"/>
      <c r="L72" s="679">
        <v>110</v>
      </c>
      <c r="M72" s="98"/>
      <c r="N72" s="680">
        <f t="shared" ref="N72:N86" si="17">L72-J72</f>
        <v>0</v>
      </c>
      <c r="O72" s="224">
        <f t="shared" si="5"/>
        <v>0</v>
      </c>
      <c r="P72" s="158"/>
    </row>
    <row r="73" spans="1:16" s="132" customFormat="1" ht="12.75" customHeight="1" x14ac:dyDescent="0.2">
      <c r="A73" s="248" t="s">
        <v>216</v>
      </c>
      <c r="B73" s="679">
        <v>480</v>
      </c>
      <c r="C73" s="225"/>
      <c r="D73" s="679">
        <v>300</v>
      </c>
      <c r="E73" s="98"/>
      <c r="F73" s="679">
        <v>300</v>
      </c>
      <c r="G73" s="98"/>
      <c r="H73" s="680">
        <f t="shared" si="3"/>
        <v>0</v>
      </c>
      <c r="I73" s="97">
        <f t="shared" si="4"/>
        <v>-180</v>
      </c>
      <c r="J73" s="679">
        <v>300</v>
      </c>
      <c r="K73" s="98"/>
      <c r="L73" s="679">
        <v>300</v>
      </c>
      <c r="M73" s="98"/>
      <c r="N73" s="680">
        <f t="shared" si="17"/>
        <v>0</v>
      </c>
      <c r="O73" s="224">
        <f t="shared" si="5"/>
        <v>0</v>
      </c>
      <c r="P73" s="158"/>
    </row>
    <row r="74" spans="1:16" s="132" customFormat="1" ht="12.75" customHeight="1" x14ac:dyDescent="0.2">
      <c r="A74" s="248" t="s">
        <v>268</v>
      </c>
      <c r="B74" s="679">
        <v>385</v>
      </c>
      <c r="C74" s="225"/>
      <c r="D74" s="679">
        <v>325</v>
      </c>
      <c r="E74" s="98"/>
      <c r="F74" s="679">
        <v>325</v>
      </c>
      <c r="G74" s="98"/>
      <c r="H74" s="680">
        <f t="shared" si="3"/>
        <v>0</v>
      </c>
      <c r="I74" s="97">
        <f t="shared" si="4"/>
        <v>-60</v>
      </c>
      <c r="J74" s="679">
        <v>350</v>
      </c>
      <c r="K74" s="98"/>
      <c r="L74" s="679">
        <v>350</v>
      </c>
      <c r="M74" s="98"/>
      <c r="N74" s="680">
        <f t="shared" si="17"/>
        <v>0</v>
      </c>
      <c r="O74" s="224">
        <f t="shared" si="5"/>
        <v>25</v>
      </c>
      <c r="P74" s="158"/>
    </row>
    <row r="75" spans="1:16" s="132" customFormat="1" ht="12.75" customHeight="1" x14ac:dyDescent="0.2">
      <c r="A75" s="248" t="s">
        <v>218</v>
      </c>
      <c r="B75" s="679">
        <v>475</v>
      </c>
      <c r="C75" s="225"/>
      <c r="D75" s="679">
        <v>425</v>
      </c>
      <c r="E75" s="98"/>
      <c r="F75" s="679">
        <v>425</v>
      </c>
      <c r="G75" s="98"/>
      <c r="H75" s="680">
        <f t="shared" si="3"/>
        <v>0</v>
      </c>
      <c r="I75" s="225">
        <f t="shared" si="4"/>
        <v>-50</v>
      </c>
      <c r="J75" s="679">
        <v>450</v>
      </c>
      <c r="K75" s="98"/>
      <c r="L75" s="679">
        <v>450</v>
      </c>
      <c r="M75" s="98"/>
      <c r="N75" s="680">
        <f t="shared" si="17"/>
        <v>0</v>
      </c>
      <c r="O75" s="226">
        <f t="shared" si="5"/>
        <v>25</v>
      </c>
      <c r="P75" s="158"/>
    </row>
    <row r="76" spans="1:16" s="132" customFormat="1" ht="12.75" customHeight="1" x14ac:dyDescent="0.2">
      <c r="A76" s="248" t="s">
        <v>236</v>
      </c>
      <c r="B76" s="679">
        <v>900</v>
      </c>
      <c r="C76" s="225"/>
      <c r="D76" s="679">
        <v>875</v>
      </c>
      <c r="E76" s="98"/>
      <c r="F76" s="679">
        <v>875</v>
      </c>
      <c r="G76" s="98"/>
      <c r="H76" s="680">
        <f t="shared" si="3"/>
        <v>0</v>
      </c>
      <c r="I76" s="225">
        <f t="shared" ref="I76:I86" si="18">F76-B76</f>
        <v>-25</v>
      </c>
      <c r="J76" s="679">
        <v>950</v>
      </c>
      <c r="K76" s="98"/>
      <c r="L76" s="679">
        <v>950</v>
      </c>
      <c r="M76" s="98"/>
      <c r="N76" s="680">
        <f t="shared" si="17"/>
        <v>0</v>
      </c>
      <c r="O76" s="226">
        <f t="shared" ref="O76:O86" si="19">L76-F76</f>
        <v>75</v>
      </c>
      <c r="P76" s="158"/>
    </row>
    <row r="77" spans="1:16" s="132" customFormat="1" ht="12.75" customHeight="1" x14ac:dyDescent="0.2">
      <c r="A77" s="248" t="s">
        <v>307</v>
      </c>
      <c r="B77" s="679">
        <v>667</v>
      </c>
      <c r="C77" s="225"/>
      <c r="D77" s="679">
        <v>680</v>
      </c>
      <c r="E77" s="98"/>
      <c r="F77" s="679">
        <v>680</v>
      </c>
      <c r="G77" s="98"/>
      <c r="H77" s="680">
        <f t="shared" si="3"/>
        <v>0</v>
      </c>
      <c r="I77" s="225">
        <f t="shared" si="18"/>
        <v>13</v>
      </c>
      <c r="J77" s="679">
        <v>700</v>
      </c>
      <c r="K77" s="98"/>
      <c r="L77" s="679">
        <v>700</v>
      </c>
      <c r="M77" s="98"/>
      <c r="N77" s="680">
        <f t="shared" si="17"/>
        <v>0</v>
      </c>
      <c r="O77" s="226">
        <f t="shared" si="19"/>
        <v>20</v>
      </c>
      <c r="P77" s="158"/>
    </row>
    <row r="78" spans="1:16" s="132" customFormat="1" ht="12.75" customHeight="1" x14ac:dyDescent="0.2">
      <c r="A78" s="248" t="s">
        <v>220</v>
      </c>
      <c r="B78" s="681">
        <v>1360</v>
      </c>
      <c r="C78" s="225"/>
      <c r="D78" s="681">
        <v>1400</v>
      </c>
      <c r="E78" s="98"/>
      <c r="F78" s="681">
        <v>1400</v>
      </c>
      <c r="G78" s="98"/>
      <c r="H78" s="680">
        <f t="shared" ref="H78:H84" si="20">F78-D78</f>
        <v>0</v>
      </c>
      <c r="I78" s="225">
        <f t="shared" si="18"/>
        <v>40</v>
      </c>
      <c r="J78" s="681">
        <v>1450</v>
      </c>
      <c r="K78" s="98"/>
      <c r="L78" s="681">
        <v>1450</v>
      </c>
      <c r="M78" s="98"/>
      <c r="N78" s="680">
        <f t="shared" si="17"/>
        <v>0</v>
      </c>
      <c r="O78" s="226">
        <f t="shared" si="19"/>
        <v>50</v>
      </c>
      <c r="P78" s="158"/>
    </row>
    <row r="79" spans="1:16" s="132" customFormat="1" ht="12.75" customHeight="1" x14ac:dyDescent="0.2">
      <c r="A79" s="248" t="s">
        <v>290</v>
      </c>
      <c r="B79" s="681">
        <v>86</v>
      </c>
      <c r="C79" s="225"/>
      <c r="D79" s="681">
        <v>80</v>
      </c>
      <c r="E79" s="98"/>
      <c r="F79" s="681">
        <v>80</v>
      </c>
      <c r="G79" s="98"/>
      <c r="H79" s="680">
        <f t="shared" ref="H79" si="21">F79-D79</f>
        <v>0</v>
      </c>
      <c r="I79" s="225">
        <f t="shared" ref="I79" si="22">F79-B79</f>
        <v>-6</v>
      </c>
      <c r="J79" s="681">
        <v>75</v>
      </c>
      <c r="K79" s="98"/>
      <c r="L79" s="681">
        <v>75</v>
      </c>
      <c r="M79" s="98"/>
      <c r="N79" s="680">
        <f t="shared" si="17"/>
        <v>0</v>
      </c>
      <c r="O79" s="226">
        <f t="shared" ref="O79" si="23">L79-H79</f>
        <v>75</v>
      </c>
      <c r="P79" s="158"/>
    </row>
    <row r="80" spans="1:16" s="132" customFormat="1" ht="12.75" customHeight="1" x14ac:dyDescent="0.2">
      <c r="A80" s="248" t="s">
        <v>222</v>
      </c>
      <c r="B80" s="679">
        <v>425</v>
      </c>
      <c r="C80" s="225"/>
      <c r="D80" s="679">
        <v>450</v>
      </c>
      <c r="E80" s="98"/>
      <c r="F80" s="679">
        <v>450</v>
      </c>
      <c r="G80" s="98"/>
      <c r="H80" s="680">
        <f t="shared" si="20"/>
        <v>0</v>
      </c>
      <c r="I80" s="225">
        <f t="shared" si="18"/>
        <v>25</v>
      </c>
      <c r="J80" s="679">
        <v>450</v>
      </c>
      <c r="K80" s="98"/>
      <c r="L80" s="679">
        <v>450</v>
      </c>
      <c r="M80" s="98"/>
      <c r="N80" s="680">
        <f t="shared" si="17"/>
        <v>0</v>
      </c>
      <c r="O80" s="226">
        <f t="shared" si="19"/>
        <v>0</v>
      </c>
      <c r="P80" s="158"/>
    </row>
    <row r="81" spans="1:25" s="132" customFormat="1" ht="12.75" customHeight="1" x14ac:dyDescent="0.2">
      <c r="A81" s="248" t="s">
        <v>223</v>
      </c>
      <c r="B81" s="679">
        <v>2750</v>
      </c>
      <c r="C81" s="225"/>
      <c r="D81" s="679">
        <v>2750</v>
      </c>
      <c r="E81" s="98"/>
      <c r="F81" s="679">
        <v>2750</v>
      </c>
      <c r="G81" s="98"/>
      <c r="H81" s="680">
        <f t="shared" si="20"/>
        <v>0</v>
      </c>
      <c r="I81" s="225">
        <f t="shared" si="18"/>
        <v>0</v>
      </c>
      <c r="J81" s="679">
        <v>2950</v>
      </c>
      <c r="K81" s="98"/>
      <c r="L81" s="679">
        <v>2950</v>
      </c>
      <c r="M81" s="98"/>
      <c r="N81" s="680">
        <f t="shared" si="17"/>
        <v>0</v>
      </c>
      <c r="O81" s="226">
        <f t="shared" si="19"/>
        <v>200</v>
      </c>
      <c r="P81" s="158"/>
    </row>
    <row r="82" spans="1:25" s="132" customFormat="1" ht="12.75" customHeight="1" x14ac:dyDescent="0.2">
      <c r="A82" s="248" t="s">
        <v>235</v>
      </c>
      <c r="B82" s="679">
        <v>550</v>
      </c>
      <c r="C82" s="225"/>
      <c r="D82" s="679">
        <v>575</v>
      </c>
      <c r="E82" s="98"/>
      <c r="F82" s="679">
        <v>575</v>
      </c>
      <c r="G82" s="98"/>
      <c r="H82" s="680">
        <f t="shared" si="20"/>
        <v>0</v>
      </c>
      <c r="I82" s="225">
        <f t="shared" si="18"/>
        <v>25</v>
      </c>
      <c r="J82" s="679">
        <v>600</v>
      </c>
      <c r="K82" s="98"/>
      <c r="L82" s="679">
        <v>600</v>
      </c>
      <c r="M82" s="98"/>
      <c r="N82" s="680">
        <f t="shared" si="17"/>
        <v>0</v>
      </c>
      <c r="O82" s="226">
        <f t="shared" si="19"/>
        <v>25</v>
      </c>
    </row>
    <row r="83" spans="1:25" s="132" customFormat="1" ht="12.75" customHeight="1" x14ac:dyDescent="0.2">
      <c r="A83" s="248" t="s">
        <v>234</v>
      </c>
      <c r="B83" s="683">
        <f>SUM(B7:B82)</f>
        <v>50296</v>
      </c>
      <c r="C83" s="225"/>
      <c r="D83" s="683">
        <f>SUM(D7:D82)</f>
        <v>50185</v>
      </c>
      <c r="E83" s="332"/>
      <c r="F83" s="683">
        <f>SUM(F7:F82)</f>
        <v>51580</v>
      </c>
      <c r="G83" s="332"/>
      <c r="H83" s="684">
        <f t="shared" si="20"/>
        <v>1395</v>
      </c>
      <c r="I83" s="332">
        <f t="shared" si="18"/>
        <v>1284</v>
      </c>
      <c r="J83" s="683">
        <f>SUM(J7:J82)</f>
        <v>49565</v>
      </c>
      <c r="K83" s="332"/>
      <c r="L83" s="683">
        <f>SUM(L7:L82)</f>
        <v>50230</v>
      </c>
      <c r="M83" s="332"/>
      <c r="N83" s="680">
        <f>L83-J83</f>
        <v>665</v>
      </c>
      <c r="O83" s="249">
        <f>L83-F83</f>
        <v>-1350</v>
      </c>
    </row>
    <row r="84" spans="1:25" s="132" customFormat="1" ht="12.75" customHeight="1" x14ac:dyDescent="0.2">
      <c r="A84" s="248" t="s">
        <v>233</v>
      </c>
      <c r="B84" s="685">
        <f>B86-B83</f>
        <v>2968</v>
      </c>
      <c r="C84" s="225"/>
      <c r="D84" s="685">
        <f>D86-D83</f>
        <v>3338</v>
      </c>
      <c r="E84" s="250"/>
      <c r="F84" s="685">
        <f>F86-F83</f>
        <v>3043</v>
      </c>
      <c r="G84" s="250"/>
      <c r="H84" s="680">
        <f t="shared" si="20"/>
        <v>-295</v>
      </c>
      <c r="I84" s="250">
        <f t="shared" si="18"/>
        <v>75</v>
      </c>
      <c r="J84" s="685">
        <f>J86-J83</f>
        <v>4264</v>
      </c>
      <c r="K84" s="250"/>
      <c r="L84" s="685">
        <f>L86-L83</f>
        <v>3599</v>
      </c>
      <c r="M84" s="250"/>
      <c r="N84" s="680">
        <f t="shared" si="17"/>
        <v>-665</v>
      </c>
      <c r="O84" s="251">
        <f t="shared" si="19"/>
        <v>556</v>
      </c>
    </row>
    <row r="85" spans="1:25" s="132" customFormat="1" ht="12.75" customHeight="1" x14ac:dyDescent="0.2">
      <c r="A85" s="252"/>
      <c r="B85" s="686"/>
      <c r="C85" s="225"/>
      <c r="D85" s="686"/>
      <c r="E85" s="135"/>
      <c r="F85" s="686"/>
      <c r="G85" s="135"/>
      <c r="H85" s="680"/>
      <c r="I85" s="225"/>
      <c r="J85" s="686"/>
      <c r="K85" s="135"/>
      <c r="L85" s="686"/>
      <c r="M85" s="135"/>
      <c r="N85" s="680"/>
      <c r="O85" s="226"/>
      <c r="V85" s="141"/>
    </row>
    <row r="86" spans="1:25" s="286" customFormat="1" ht="12.75" customHeight="1" thickBot="1" x14ac:dyDescent="0.25">
      <c r="A86" s="281" t="s">
        <v>226</v>
      </c>
      <c r="B86" s="687">
        <v>53264</v>
      </c>
      <c r="C86" s="282"/>
      <c r="D86" s="688">
        <v>53523</v>
      </c>
      <c r="E86" s="283"/>
      <c r="F86" s="688">
        <v>54623</v>
      </c>
      <c r="G86" s="228"/>
      <c r="H86" s="689">
        <f>F86-D86</f>
        <v>1100</v>
      </c>
      <c r="I86" s="284">
        <f t="shared" si="18"/>
        <v>1359</v>
      </c>
      <c r="J86" s="688">
        <v>53829</v>
      </c>
      <c r="K86" s="283"/>
      <c r="L86" s="688">
        <v>53829</v>
      </c>
      <c r="M86" s="228"/>
      <c r="N86" s="690">
        <f t="shared" si="17"/>
        <v>0</v>
      </c>
      <c r="O86" s="285">
        <f t="shared" si="19"/>
        <v>-794</v>
      </c>
      <c r="V86" s="287"/>
    </row>
    <row r="87" spans="1:25" ht="15.75" customHeight="1" x14ac:dyDescent="0.2">
      <c r="A87" s="125" t="s">
        <v>301</v>
      </c>
      <c r="B87" s="678"/>
      <c r="V87" s="68"/>
    </row>
    <row r="88" spans="1:25" ht="12" customHeight="1" x14ac:dyDescent="0.2">
      <c r="A88" s="116" t="s">
        <v>495</v>
      </c>
      <c r="B88" s="678"/>
      <c r="V88" s="68"/>
    </row>
    <row r="89" spans="1:25" x14ac:dyDescent="0.2">
      <c r="A89" s="116" t="s">
        <v>337</v>
      </c>
      <c r="B89" s="691"/>
      <c r="D89" s="691"/>
      <c r="E89" s="97"/>
      <c r="F89" s="691"/>
      <c r="G89" s="97"/>
      <c r="J89" s="691"/>
      <c r="K89" s="97"/>
      <c r="L89" s="691"/>
      <c r="M89" s="97"/>
      <c r="Y89" s="68"/>
    </row>
    <row r="90" spans="1:25" ht="12" customHeight="1" x14ac:dyDescent="0.2">
      <c r="A90" s="6" t="s">
        <v>483</v>
      </c>
      <c r="B90" s="678"/>
      <c r="V90" s="68"/>
    </row>
    <row r="91" spans="1:25" ht="11.1" customHeight="1" x14ac:dyDescent="0.2">
      <c r="B91" s="678"/>
      <c r="V91" s="68"/>
    </row>
    <row r="92" spans="1:25" ht="10.5" customHeight="1" x14ac:dyDescent="0.2">
      <c r="A92" s="114"/>
      <c r="B92" s="692"/>
      <c r="D92" s="692"/>
      <c r="E92" s="124"/>
      <c r="F92" s="692"/>
      <c r="G92" s="124"/>
      <c r="J92" s="692"/>
      <c r="K92" s="124"/>
      <c r="L92" s="692"/>
      <c r="M92" s="124"/>
      <c r="V92" s="68"/>
    </row>
    <row r="93" spans="1:25" x14ac:dyDescent="0.2">
      <c r="A93" s="97"/>
      <c r="B93" s="678"/>
      <c r="V93" s="68"/>
    </row>
    <row r="94" spans="1:25" x14ac:dyDescent="0.2">
      <c r="B94" s="678"/>
      <c r="V94" s="68"/>
    </row>
    <row r="95" spans="1:25" x14ac:dyDescent="0.2">
      <c r="B95" s="678"/>
      <c r="V95" s="68"/>
    </row>
    <row r="96" spans="1:25" x14ac:dyDescent="0.2">
      <c r="B96" s="678"/>
      <c r="V96" s="68"/>
    </row>
    <row r="97" spans="2:28" x14ac:dyDescent="0.2">
      <c r="B97" s="678"/>
      <c r="V97" s="68"/>
    </row>
    <row r="98" spans="2:28" x14ac:dyDescent="0.2">
      <c r="B98" s="678"/>
      <c r="V98" s="68"/>
    </row>
    <row r="99" spans="2:28" x14ac:dyDescent="0.2">
      <c r="B99" s="678"/>
      <c r="V99" s="68"/>
    </row>
    <row r="100" spans="2:28" x14ac:dyDescent="0.2">
      <c r="B100" s="678"/>
    </row>
    <row r="101" spans="2:28" x14ac:dyDescent="0.2">
      <c r="B101" s="678"/>
      <c r="V101" s="68"/>
    </row>
    <row r="102" spans="2:28" x14ac:dyDescent="0.2">
      <c r="B102" s="678"/>
      <c r="V102" s="75"/>
      <c r="X102" s="75"/>
      <c r="Y102" s="75"/>
    </row>
    <row r="103" spans="2:28" ht="11.1" customHeight="1" x14ac:dyDescent="0.2">
      <c r="B103" s="678"/>
      <c r="V103" s="75"/>
      <c r="X103" s="75"/>
      <c r="Y103" s="75"/>
      <c r="Z103" s="75"/>
      <c r="AA103" s="75"/>
      <c r="AB103" s="75"/>
    </row>
    <row r="104" spans="2:28" ht="11.1" customHeight="1" x14ac:dyDescent="0.2">
      <c r="B104" s="678"/>
      <c r="V104" s="68"/>
    </row>
    <row r="105" spans="2:28" ht="11.1" customHeight="1" x14ac:dyDescent="0.2">
      <c r="B105" s="678"/>
    </row>
    <row r="106" spans="2:28" ht="11.1" customHeight="1" x14ac:dyDescent="0.2">
      <c r="B106" s="678"/>
      <c r="V106" s="68"/>
    </row>
    <row r="107" spans="2:28" x14ac:dyDescent="0.2">
      <c r="B107" s="678"/>
      <c r="V107" s="68"/>
    </row>
    <row r="108" spans="2:28" x14ac:dyDescent="0.2">
      <c r="B108" s="678"/>
      <c r="V108" s="68"/>
    </row>
    <row r="109" spans="2:28" x14ac:dyDescent="0.2">
      <c r="B109" s="678"/>
      <c r="V109" s="68"/>
    </row>
    <row r="110" spans="2:28" x14ac:dyDescent="0.2">
      <c r="B110" s="678"/>
    </row>
    <row r="111" spans="2:28" x14ac:dyDescent="0.2">
      <c r="V111" s="68"/>
    </row>
    <row r="112" spans="2:28" x14ac:dyDescent="0.2">
      <c r="D112" s="693"/>
      <c r="F112" s="693"/>
      <c r="J112" s="693"/>
      <c r="L112" s="693"/>
    </row>
    <row r="113" spans="4:21" x14ac:dyDescent="0.2">
      <c r="D113" s="693"/>
      <c r="F113" s="693"/>
      <c r="J113" s="693"/>
      <c r="L113" s="693"/>
    </row>
    <row r="114" spans="4:21" x14ac:dyDescent="0.2">
      <c r="D114" s="693"/>
      <c r="F114" s="693"/>
      <c r="J114" s="693"/>
      <c r="L114" s="693"/>
    </row>
    <row r="115" spans="4:21" x14ac:dyDescent="0.2">
      <c r="D115" s="693"/>
      <c r="F115" s="693"/>
      <c r="J115" s="693"/>
      <c r="L115" s="693"/>
    </row>
    <row r="119" spans="4:21" x14ac:dyDescent="0.2">
      <c r="D119" s="693"/>
      <c r="F119" s="693"/>
      <c r="J119" s="693"/>
      <c r="L119" s="693"/>
    </row>
    <row r="120" spans="4:21" x14ac:dyDescent="0.2">
      <c r="D120" s="693"/>
      <c r="F120" s="693"/>
      <c r="J120" s="693"/>
      <c r="L120" s="693"/>
    </row>
    <row r="121" spans="4:21" x14ac:dyDescent="0.2">
      <c r="P121" s="82"/>
      <c r="Q121" s="82"/>
      <c r="R121" s="82"/>
      <c r="S121" s="82"/>
      <c r="T121" s="82"/>
      <c r="U121" s="82"/>
    </row>
    <row r="122" spans="4:21" x14ac:dyDescent="0.2">
      <c r="D122" s="693"/>
      <c r="F122" s="693"/>
      <c r="J122" s="693"/>
      <c r="L122" s="693"/>
      <c r="P122" s="82"/>
      <c r="Q122" s="82"/>
      <c r="R122" s="82"/>
      <c r="S122" s="82"/>
      <c r="T122" s="82"/>
      <c r="U122" s="82"/>
    </row>
    <row r="123" spans="4:21" x14ac:dyDescent="0.2">
      <c r="D123" s="693"/>
      <c r="F123" s="693"/>
      <c r="J123" s="693"/>
      <c r="L123" s="693"/>
    </row>
    <row r="124" spans="4:21" x14ac:dyDescent="0.2">
      <c r="D124" s="693"/>
      <c r="F124" s="693"/>
      <c r="J124" s="693"/>
      <c r="L124" s="693"/>
    </row>
    <row r="125" spans="4:21" x14ac:dyDescent="0.2">
      <c r="D125" s="693"/>
      <c r="F125" s="693"/>
      <c r="J125" s="693"/>
      <c r="L125" s="693"/>
    </row>
    <row r="126" spans="4:21" x14ac:dyDescent="0.2">
      <c r="D126" s="693"/>
      <c r="F126" s="693"/>
      <c r="J126" s="693"/>
      <c r="L126" s="693"/>
    </row>
    <row r="127" spans="4:21" x14ac:dyDescent="0.2">
      <c r="D127" s="693"/>
      <c r="F127" s="693"/>
      <c r="J127" s="693"/>
      <c r="L127" s="693"/>
    </row>
    <row r="129" spans="4:12" x14ac:dyDescent="0.2">
      <c r="D129" s="693"/>
      <c r="F129" s="693"/>
      <c r="J129" s="693"/>
      <c r="L129" s="693"/>
    </row>
    <row r="130" spans="4:12" x14ac:dyDescent="0.2">
      <c r="D130" s="693"/>
      <c r="F130" s="693"/>
      <c r="J130" s="693"/>
      <c r="L130" s="693"/>
    </row>
    <row r="131" spans="4:12" x14ac:dyDescent="0.2">
      <c r="D131" s="693"/>
      <c r="F131" s="693"/>
      <c r="J131" s="693"/>
      <c r="L131" s="693"/>
    </row>
    <row r="132" spans="4:12" x14ac:dyDescent="0.2">
      <c r="D132" s="693"/>
      <c r="F132" s="693"/>
      <c r="J132" s="693"/>
      <c r="L132" s="693"/>
    </row>
    <row r="133" spans="4:12" x14ac:dyDescent="0.2">
      <c r="D133" s="693"/>
      <c r="F133" s="693"/>
      <c r="J133" s="693"/>
      <c r="L133" s="693"/>
    </row>
    <row r="134" spans="4:12" x14ac:dyDescent="0.2">
      <c r="D134" s="693"/>
      <c r="F134" s="693"/>
      <c r="J134" s="693"/>
      <c r="L134" s="693"/>
    </row>
    <row r="135" spans="4:12" x14ac:dyDescent="0.2">
      <c r="D135" s="693"/>
      <c r="F135" s="693"/>
      <c r="J135" s="693"/>
      <c r="L135" s="693"/>
    </row>
    <row r="136" spans="4:12" x14ac:dyDescent="0.2">
      <c r="D136" s="693"/>
      <c r="F136" s="693"/>
      <c r="J136" s="693"/>
      <c r="L136" s="693"/>
    </row>
    <row r="137" spans="4:12" x14ac:dyDescent="0.2">
      <c r="D137" s="693"/>
      <c r="F137" s="693"/>
      <c r="J137" s="693"/>
      <c r="L137" s="693"/>
    </row>
    <row r="138" spans="4:12" x14ac:dyDescent="0.2">
      <c r="D138" s="693"/>
      <c r="F138" s="693"/>
      <c r="J138" s="693"/>
      <c r="L138" s="693"/>
    </row>
    <row r="139" spans="4:12" x14ac:dyDescent="0.2">
      <c r="D139" s="693"/>
      <c r="F139" s="693"/>
      <c r="J139" s="693"/>
      <c r="L139" s="693"/>
    </row>
    <row r="140" spans="4:12" x14ac:dyDescent="0.2">
      <c r="D140" s="693"/>
      <c r="F140" s="693"/>
      <c r="J140" s="693"/>
      <c r="L140" s="693"/>
    </row>
    <row r="141" spans="4:12" x14ac:dyDescent="0.2">
      <c r="D141" s="693"/>
      <c r="F141" s="693"/>
      <c r="J141" s="693"/>
      <c r="L141" s="693"/>
    </row>
    <row r="142" spans="4:12" x14ac:dyDescent="0.2">
      <c r="D142" s="693"/>
      <c r="F142" s="693"/>
      <c r="J142" s="693"/>
      <c r="L142" s="693"/>
    </row>
    <row r="143" spans="4:12" x14ac:dyDescent="0.2">
      <c r="D143" s="693"/>
      <c r="F143" s="693"/>
      <c r="J143" s="693"/>
      <c r="L143" s="693"/>
    </row>
    <row r="172" spans="4:12" x14ac:dyDescent="0.2">
      <c r="D172" s="693"/>
      <c r="F172" s="693"/>
      <c r="J172" s="693"/>
      <c r="L172" s="693"/>
    </row>
    <row r="176" spans="4:12" x14ac:dyDescent="0.2">
      <c r="D176" s="693"/>
      <c r="F176" s="693"/>
      <c r="J176" s="693"/>
      <c r="L176" s="693"/>
    </row>
    <row r="177" spans="4:21" x14ac:dyDescent="0.2">
      <c r="D177" s="693"/>
      <c r="F177" s="693"/>
      <c r="J177" s="693"/>
      <c r="L177" s="693"/>
      <c r="P177" s="82"/>
      <c r="Q177" s="82"/>
      <c r="R177" s="82"/>
      <c r="S177" s="82"/>
      <c r="T177" s="82"/>
      <c r="U177" s="82"/>
    </row>
    <row r="178" spans="4:21" x14ac:dyDescent="0.2">
      <c r="D178" s="693"/>
      <c r="F178" s="693"/>
      <c r="J178" s="693"/>
      <c r="L178" s="693"/>
    </row>
    <row r="179" spans="4:21" x14ac:dyDescent="0.2">
      <c r="D179" s="693"/>
      <c r="F179" s="693"/>
      <c r="J179" s="693"/>
      <c r="L179" s="693"/>
    </row>
    <row r="181" spans="4:21" x14ac:dyDescent="0.2">
      <c r="D181" s="693"/>
      <c r="F181" s="693"/>
      <c r="J181" s="693"/>
      <c r="L181" s="693"/>
    </row>
  </sheetData>
  <printOptions horizontalCentered="1"/>
  <pageMargins left="0.5" right="0.5" top="0.75" bottom="0.75" header="0.18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ACDC7-2F6D-4106-B632-9DB773CD6D06}">
  <ds:schemaRefs>
    <ds:schemaRef ds:uri="http://schemas.microsoft.com/office/2006/documentManagement/types"/>
    <ds:schemaRef ds:uri="http://schemas.microsoft.com/office/infopath/2007/PartnerControls"/>
    <ds:schemaRef ds:uri="2fcff277-b375-48ff-b4c9-6bcca27703f7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4fffb711-94bf-42d2-86e6-614eafb06a7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Bonnie LeBeau</dc:creator>
  <cp:keywords>Production, stocks, exports, imports, domestic use, farm price</cp:keywords>
  <cp:lastModifiedBy>Childs, Nathan - REE-ERS</cp:lastModifiedBy>
  <cp:lastPrinted>2024-06-14T14:41:33Z</cp:lastPrinted>
  <dcterms:created xsi:type="dcterms:W3CDTF">2003-10-16T13:04:59Z</dcterms:created>
  <dcterms:modified xsi:type="dcterms:W3CDTF">2024-06-14T14:48:52Z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